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defaultThemeVersion="166925"/>
  <mc:AlternateContent xmlns:mc="http://schemas.openxmlformats.org/markup-compatibility/2006">
    <mc:Choice Requires="x15">
      <x15ac:absPath xmlns:x15ac="http://schemas.microsoft.com/office/spreadsheetml/2010/11/ac" url="https://adecloud.sharepoint.com/sites/HNSReports/Shared Documents/Free and Reduced Price Report/Free_and_Reduced_Percentage_Report/SY24/"/>
    </mc:Choice>
  </mc:AlternateContent>
  <xr:revisionPtr revIDLastSave="0" documentId="8_{D06243F8-3B9D-4AF4-8089-626F5B24B9FA}" xr6:coauthVersionLast="47" xr6:coauthVersionMax="47" xr10:uidLastSave="{00000000-0000-0000-0000-000000000000}"/>
  <bookViews>
    <workbookView xWindow="28680" yWindow="-120" windowWidth="29040" windowHeight="15720" xr2:uid="{D7EBE1C2-7B41-4C7A-9307-0D6867A12E0E}"/>
  </bookViews>
  <sheets>
    <sheet name="READ FIRST" sheetId="2" r:id="rId1"/>
    <sheet name="SY23-24 Redacted Data" sheetId="1" r:id="rId2"/>
  </sheets>
  <definedNames>
    <definedName name="_xlnm._FilterDatabase" localSheetId="1" hidden="1">'SY23-24 Redacted Data'!$A$2:$N$1798</definedName>
    <definedName name="_xlnm.Print_Titles" localSheetId="1">'SY23-24 Redacted Data'!$2:$2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98" i="1" l="1"/>
  <c r="C1798" i="1"/>
  <c r="F1797" i="1"/>
  <c r="C1797" i="1"/>
  <c r="F1796" i="1"/>
  <c r="C1796" i="1"/>
  <c r="F1795" i="1"/>
  <c r="C1795" i="1"/>
  <c r="F1794" i="1"/>
  <c r="C1794" i="1"/>
  <c r="F1793" i="1"/>
  <c r="C1793" i="1"/>
  <c r="F1792" i="1"/>
  <c r="C1792" i="1"/>
  <c r="F1791" i="1"/>
  <c r="C1791" i="1"/>
  <c r="F1790" i="1"/>
  <c r="C1790" i="1"/>
  <c r="F1789" i="1"/>
  <c r="C1789" i="1"/>
  <c r="F1788" i="1"/>
  <c r="C1788" i="1"/>
  <c r="F1787" i="1"/>
  <c r="C1787" i="1"/>
  <c r="F1786" i="1"/>
  <c r="C1786" i="1"/>
  <c r="F1785" i="1"/>
  <c r="C1785" i="1"/>
  <c r="F1784" i="1"/>
  <c r="C1784" i="1"/>
  <c r="F1783" i="1"/>
  <c r="C1783" i="1"/>
  <c r="F1782" i="1"/>
  <c r="C1782" i="1"/>
  <c r="F1781" i="1"/>
  <c r="C1781" i="1"/>
  <c r="F1780" i="1"/>
  <c r="C1780" i="1"/>
  <c r="F1779" i="1"/>
  <c r="C1779" i="1"/>
  <c r="F1778" i="1"/>
  <c r="C1778" i="1"/>
  <c r="F1777" i="1"/>
  <c r="C1777" i="1"/>
  <c r="F1776" i="1"/>
  <c r="C1776" i="1"/>
  <c r="F1775" i="1"/>
  <c r="C1775" i="1"/>
  <c r="F1774" i="1"/>
  <c r="C1774" i="1"/>
  <c r="F1773" i="1"/>
  <c r="C1773" i="1"/>
  <c r="F1772" i="1"/>
  <c r="C1772" i="1"/>
  <c r="F1771" i="1"/>
  <c r="C1771" i="1"/>
  <c r="F1770" i="1"/>
  <c r="C1770" i="1"/>
  <c r="F1769" i="1"/>
  <c r="C1769" i="1"/>
  <c r="F1768" i="1"/>
  <c r="C1768" i="1"/>
  <c r="F1767" i="1"/>
  <c r="C1767" i="1"/>
  <c r="F1766" i="1"/>
  <c r="C1766" i="1"/>
  <c r="F1765" i="1"/>
  <c r="C1765" i="1"/>
  <c r="F1764" i="1"/>
  <c r="C1764" i="1"/>
  <c r="F1763" i="1"/>
  <c r="C1763" i="1"/>
  <c r="F1762" i="1"/>
  <c r="C1762" i="1"/>
  <c r="F1761" i="1"/>
  <c r="C1761" i="1"/>
  <c r="F1760" i="1"/>
  <c r="C1760" i="1"/>
  <c r="F1759" i="1"/>
  <c r="C1759" i="1"/>
  <c r="F1758" i="1"/>
  <c r="C1758" i="1"/>
  <c r="F1757" i="1"/>
  <c r="C1757" i="1"/>
  <c r="F1756" i="1"/>
  <c r="C1756" i="1"/>
  <c r="F1755" i="1"/>
  <c r="C1755" i="1"/>
  <c r="F1754" i="1"/>
  <c r="C1754" i="1"/>
  <c r="F1753" i="1"/>
  <c r="C1753" i="1"/>
  <c r="F1752" i="1"/>
  <c r="C1752" i="1"/>
  <c r="F1751" i="1"/>
  <c r="C1751" i="1"/>
  <c r="F1750" i="1"/>
  <c r="C1750" i="1"/>
  <c r="F1749" i="1"/>
  <c r="C1749" i="1"/>
  <c r="F1748" i="1"/>
  <c r="C1748" i="1"/>
  <c r="F1747" i="1"/>
  <c r="C1747" i="1"/>
  <c r="F1746" i="1"/>
  <c r="C1746" i="1"/>
  <c r="F1745" i="1"/>
  <c r="C1745" i="1"/>
  <c r="F1744" i="1"/>
  <c r="C1744" i="1"/>
  <c r="F1743" i="1"/>
  <c r="C1743" i="1"/>
  <c r="F1742" i="1"/>
  <c r="C1742" i="1"/>
  <c r="F1741" i="1"/>
  <c r="C1741" i="1"/>
  <c r="F1740" i="1"/>
  <c r="C1740" i="1"/>
  <c r="F1739" i="1"/>
  <c r="C1739" i="1"/>
  <c r="F1738" i="1"/>
  <c r="C1738" i="1"/>
  <c r="F1737" i="1"/>
  <c r="C1737" i="1"/>
  <c r="F1736" i="1"/>
  <c r="C1736" i="1"/>
  <c r="F1735" i="1"/>
  <c r="C1735" i="1"/>
  <c r="F1734" i="1"/>
  <c r="C1734" i="1"/>
  <c r="F1733" i="1"/>
  <c r="C1733" i="1"/>
  <c r="F1732" i="1"/>
  <c r="C1732" i="1"/>
  <c r="F1731" i="1"/>
  <c r="C1731" i="1"/>
  <c r="F1730" i="1"/>
  <c r="C1730" i="1"/>
  <c r="F1729" i="1"/>
  <c r="C1729" i="1"/>
  <c r="F1728" i="1"/>
  <c r="C1728" i="1"/>
  <c r="F1727" i="1"/>
  <c r="C1727" i="1"/>
  <c r="F1726" i="1"/>
  <c r="C1726" i="1"/>
  <c r="F1725" i="1"/>
  <c r="C1725" i="1"/>
  <c r="F1724" i="1"/>
  <c r="C1724" i="1"/>
  <c r="F1723" i="1"/>
  <c r="C1723" i="1"/>
  <c r="F1722" i="1"/>
  <c r="C1722" i="1"/>
  <c r="F1721" i="1"/>
  <c r="C1721" i="1"/>
  <c r="F1720" i="1"/>
  <c r="C1720" i="1"/>
  <c r="F1719" i="1"/>
  <c r="C1719" i="1"/>
  <c r="F1718" i="1"/>
  <c r="C1718" i="1"/>
  <c r="F1717" i="1"/>
  <c r="C1717" i="1"/>
  <c r="F1716" i="1"/>
  <c r="C1716" i="1"/>
  <c r="F1715" i="1"/>
  <c r="C1715" i="1"/>
  <c r="F1714" i="1"/>
  <c r="C1714" i="1"/>
  <c r="F1713" i="1"/>
  <c r="C1713" i="1"/>
  <c r="F1712" i="1"/>
  <c r="C1712" i="1"/>
  <c r="F1711" i="1"/>
  <c r="C1711" i="1"/>
  <c r="F1710" i="1"/>
  <c r="C1710" i="1"/>
  <c r="F1709" i="1"/>
  <c r="C1709" i="1"/>
  <c r="F1708" i="1"/>
  <c r="C1708" i="1"/>
  <c r="F1707" i="1"/>
  <c r="C1707" i="1"/>
  <c r="F1706" i="1"/>
  <c r="C1706" i="1"/>
  <c r="F1705" i="1"/>
  <c r="C1705" i="1"/>
  <c r="F1704" i="1"/>
  <c r="C1704" i="1"/>
  <c r="F1703" i="1"/>
  <c r="C1703" i="1"/>
  <c r="F1702" i="1"/>
  <c r="C1702" i="1"/>
  <c r="F1701" i="1"/>
  <c r="C1701" i="1"/>
  <c r="F1700" i="1"/>
  <c r="C1700" i="1"/>
  <c r="F1699" i="1"/>
  <c r="C1699" i="1"/>
  <c r="F1698" i="1"/>
  <c r="C1698" i="1"/>
  <c r="F1697" i="1"/>
  <c r="C1697" i="1"/>
  <c r="F1696" i="1"/>
  <c r="C1696" i="1"/>
  <c r="F1695" i="1"/>
  <c r="C1695" i="1"/>
  <c r="F1694" i="1"/>
  <c r="C1694" i="1"/>
  <c r="F1693" i="1"/>
  <c r="C1693" i="1"/>
  <c r="F1692" i="1"/>
  <c r="C1692" i="1"/>
  <c r="F1691" i="1"/>
  <c r="C1691" i="1"/>
  <c r="F1690" i="1"/>
  <c r="C1690" i="1"/>
  <c r="F1689" i="1"/>
  <c r="C1689" i="1"/>
  <c r="F1688" i="1"/>
  <c r="C1688" i="1"/>
  <c r="F1687" i="1"/>
  <c r="C1687" i="1"/>
  <c r="F1686" i="1"/>
  <c r="C1686" i="1"/>
  <c r="F1685" i="1"/>
  <c r="C1685" i="1"/>
  <c r="F1684" i="1"/>
  <c r="C1684" i="1"/>
  <c r="F1683" i="1"/>
  <c r="C1683" i="1"/>
  <c r="F1682" i="1"/>
  <c r="C1682" i="1"/>
  <c r="F1681" i="1"/>
  <c r="C1681" i="1"/>
  <c r="F1680" i="1"/>
  <c r="C1680" i="1"/>
  <c r="F1679" i="1"/>
  <c r="C1679" i="1"/>
  <c r="F1678" i="1"/>
  <c r="C1678" i="1"/>
  <c r="F1677" i="1"/>
  <c r="C1677" i="1"/>
  <c r="F1676" i="1"/>
  <c r="C1676" i="1"/>
  <c r="F1675" i="1"/>
  <c r="C1675" i="1"/>
  <c r="F1674" i="1"/>
  <c r="C1674" i="1"/>
  <c r="F1673" i="1"/>
  <c r="C1673" i="1"/>
  <c r="F1672" i="1"/>
  <c r="C1672" i="1"/>
  <c r="F1671" i="1"/>
  <c r="C1671" i="1"/>
  <c r="F1670" i="1"/>
  <c r="C1670" i="1"/>
  <c r="F1669" i="1"/>
  <c r="C1669" i="1"/>
  <c r="F1668" i="1"/>
  <c r="C1668" i="1"/>
  <c r="F1667" i="1"/>
  <c r="C1667" i="1"/>
  <c r="F1666" i="1"/>
  <c r="C1666" i="1"/>
  <c r="F1665" i="1"/>
  <c r="C1665" i="1"/>
  <c r="F1664" i="1"/>
  <c r="C1664" i="1"/>
  <c r="F1663" i="1"/>
  <c r="C1663" i="1"/>
  <c r="F1662" i="1"/>
  <c r="C1662" i="1"/>
  <c r="F1661" i="1"/>
  <c r="C1661" i="1"/>
  <c r="F1660" i="1"/>
  <c r="C1660" i="1"/>
  <c r="F1659" i="1"/>
  <c r="C1659" i="1"/>
  <c r="F1658" i="1"/>
  <c r="C1658" i="1"/>
  <c r="F1657" i="1"/>
  <c r="C1657" i="1"/>
  <c r="F1656" i="1"/>
  <c r="C1656" i="1"/>
  <c r="F1655" i="1"/>
  <c r="C1655" i="1"/>
  <c r="F1654" i="1"/>
  <c r="C1654" i="1"/>
  <c r="F1653" i="1"/>
  <c r="C1653" i="1"/>
  <c r="F1652" i="1"/>
  <c r="C1652" i="1"/>
  <c r="F1651" i="1"/>
  <c r="C1651" i="1"/>
  <c r="F1650" i="1"/>
  <c r="C1650" i="1"/>
  <c r="F1649" i="1"/>
  <c r="C1649" i="1"/>
  <c r="F1648" i="1"/>
  <c r="C1648" i="1"/>
  <c r="F1647" i="1"/>
  <c r="C1647" i="1"/>
  <c r="F1646" i="1"/>
  <c r="C1646" i="1"/>
  <c r="F1645" i="1"/>
  <c r="C1645" i="1"/>
  <c r="F1644" i="1"/>
  <c r="C1644" i="1"/>
  <c r="F1643" i="1"/>
  <c r="C1643" i="1"/>
  <c r="F1642" i="1"/>
  <c r="C1642" i="1"/>
  <c r="F1641" i="1"/>
  <c r="C1641" i="1"/>
  <c r="F1640" i="1"/>
  <c r="C1640" i="1"/>
  <c r="F1639" i="1"/>
  <c r="C1639" i="1"/>
  <c r="F1638" i="1"/>
  <c r="C1638" i="1"/>
  <c r="F1637" i="1"/>
  <c r="C1637" i="1"/>
  <c r="F1636" i="1"/>
  <c r="C1636" i="1"/>
  <c r="F1635" i="1"/>
  <c r="C1635" i="1"/>
  <c r="F1634" i="1"/>
  <c r="C1634" i="1"/>
  <c r="F1633" i="1"/>
  <c r="C1633" i="1"/>
  <c r="F1632" i="1"/>
  <c r="C1632" i="1"/>
  <c r="F1631" i="1"/>
  <c r="C1631" i="1"/>
  <c r="F1630" i="1"/>
  <c r="C1630" i="1"/>
  <c r="F1629" i="1"/>
  <c r="C1629" i="1"/>
  <c r="F1628" i="1"/>
  <c r="C1628" i="1"/>
  <c r="F1627" i="1"/>
  <c r="C1627" i="1"/>
  <c r="F1626" i="1"/>
  <c r="C1626" i="1"/>
  <c r="F1625" i="1"/>
  <c r="C1625" i="1"/>
  <c r="F1624" i="1"/>
  <c r="C1624" i="1"/>
  <c r="F1623" i="1"/>
  <c r="C1623" i="1"/>
  <c r="F1622" i="1"/>
  <c r="C1622" i="1"/>
  <c r="F1621" i="1"/>
  <c r="C1621" i="1"/>
  <c r="F1620" i="1"/>
  <c r="C1620" i="1"/>
  <c r="F1619" i="1"/>
  <c r="C1619" i="1"/>
  <c r="F1618" i="1"/>
  <c r="C1618" i="1"/>
  <c r="F1617" i="1"/>
  <c r="C1617" i="1"/>
  <c r="F1616" i="1"/>
  <c r="C1616" i="1"/>
  <c r="F1615" i="1"/>
  <c r="C1615" i="1"/>
  <c r="F1614" i="1"/>
  <c r="C1614" i="1"/>
  <c r="F1613" i="1"/>
  <c r="C1613" i="1"/>
  <c r="F1612" i="1"/>
  <c r="C1612" i="1"/>
  <c r="F1611" i="1"/>
  <c r="C1611" i="1"/>
  <c r="F1610" i="1"/>
  <c r="C1610" i="1"/>
  <c r="F1609" i="1"/>
  <c r="C1609" i="1"/>
  <c r="F1608" i="1"/>
  <c r="C1608" i="1"/>
  <c r="F1607" i="1"/>
  <c r="C1607" i="1"/>
  <c r="F1606" i="1"/>
  <c r="C1606" i="1"/>
  <c r="F1605" i="1"/>
  <c r="C1605" i="1"/>
  <c r="F1604" i="1"/>
  <c r="C1604" i="1"/>
  <c r="F1603" i="1"/>
  <c r="C1603" i="1"/>
  <c r="F1602" i="1"/>
  <c r="C1602" i="1"/>
  <c r="F1601" i="1"/>
  <c r="C1601" i="1"/>
  <c r="F1600" i="1"/>
  <c r="C1600" i="1"/>
  <c r="F1599" i="1"/>
  <c r="C1599" i="1"/>
  <c r="F1598" i="1"/>
  <c r="C1598" i="1"/>
  <c r="F1597" i="1"/>
  <c r="C1597" i="1"/>
  <c r="F1596" i="1"/>
  <c r="C1596" i="1"/>
  <c r="F1595" i="1"/>
  <c r="C1595" i="1"/>
  <c r="F1594" i="1"/>
  <c r="C1594" i="1"/>
  <c r="F1593" i="1"/>
  <c r="C1593" i="1"/>
  <c r="F1592" i="1"/>
  <c r="C1592" i="1"/>
  <c r="F1591" i="1"/>
  <c r="C1591" i="1"/>
  <c r="F1590" i="1"/>
  <c r="C1590" i="1"/>
  <c r="F1589" i="1"/>
  <c r="C1589" i="1"/>
  <c r="F1588" i="1"/>
  <c r="C1588" i="1"/>
  <c r="F1587" i="1"/>
  <c r="C1587" i="1"/>
  <c r="F1586" i="1"/>
  <c r="C1586" i="1"/>
  <c r="F1585" i="1"/>
  <c r="C1585" i="1"/>
  <c r="F1584" i="1"/>
  <c r="C1584" i="1"/>
  <c r="F1583" i="1"/>
  <c r="C1583" i="1"/>
  <c r="F1582" i="1"/>
  <c r="C1582" i="1"/>
  <c r="F1581" i="1"/>
  <c r="C1581" i="1"/>
  <c r="F1580" i="1"/>
  <c r="C1580" i="1"/>
  <c r="F1579" i="1"/>
  <c r="C1579" i="1"/>
  <c r="F1578" i="1"/>
  <c r="C1578" i="1"/>
  <c r="F1577" i="1"/>
  <c r="C1577" i="1"/>
  <c r="F1576" i="1"/>
  <c r="C1576" i="1"/>
  <c r="F1575" i="1"/>
  <c r="C1575" i="1"/>
  <c r="F1574" i="1"/>
  <c r="C1574" i="1"/>
  <c r="F1573" i="1"/>
  <c r="C1573" i="1"/>
  <c r="F1572" i="1"/>
  <c r="C1572" i="1"/>
  <c r="F1571" i="1"/>
  <c r="C1571" i="1"/>
  <c r="F1570" i="1"/>
  <c r="C1570" i="1"/>
  <c r="F1569" i="1"/>
  <c r="C1569" i="1"/>
  <c r="F1568" i="1"/>
  <c r="C1568" i="1"/>
  <c r="F1567" i="1"/>
  <c r="C1567" i="1"/>
  <c r="F1566" i="1"/>
  <c r="C1566" i="1"/>
  <c r="F1565" i="1"/>
  <c r="C1565" i="1"/>
  <c r="F1564" i="1"/>
  <c r="C1564" i="1"/>
  <c r="F1563" i="1"/>
  <c r="C1563" i="1"/>
  <c r="F1562" i="1"/>
  <c r="C1562" i="1"/>
  <c r="F1561" i="1"/>
  <c r="C1561" i="1"/>
  <c r="F1560" i="1"/>
  <c r="C1560" i="1"/>
  <c r="F1559" i="1"/>
  <c r="C1559" i="1"/>
  <c r="F1558" i="1"/>
  <c r="C1558" i="1"/>
  <c r="F1557" i="1"/>
  <c r="C1557" i="1"/>
  <c r="F1556" i="1"/>
  <c r="C1556" i="1"/>
  <c r="F1555" i="1"/>
  <c r="C1555" i="1"/>
  <c r="F1554" i="1"/>
  <c r="C1554" i="1"/>
  <c r="F1553" i="1"/>
  <c r="C1553" i="1"/>
  <c r="F1552" i="1"/>
  <c r="C1552" i="1"/>
  <c r="F1551" i="1"/>
  <c r="C1551" i="1"/>
  <c r="F1550" i="1"/>
  <c r="C1550" i="1"/>
  <c r="F1549" i="1"/>
  <c r="C1549" i="1"/>
  <c r="F1548" i="1"/>
  <c r="C1548" i="1"/>
  <c r="F1547" i="1"/>
  <c r="C1547" i="1"/>
  <c r="F1546" i="1"/>
  <c r="C1546" i="1"/>
  <c r="F1545" i="1"/>
  <c r="C1545" i="1"/>
  <c r="F1544" i="1"/>
  <c r="C1544" i="1"/>
  <c r="F1543" i="1"/>
  <c r="C1543" i="1"/>
  <c r="F1542" i="1"/>
  <c r="C1542" i="1"/>
  <c r="F1541" i="1"/>
  <c r="C1541" i="1"/>
  <c r="F1540" i="1"/>
  <c r="C1540" i="1"/>
  <c r="F1539" i="1"/>
  <c r="C1539" i="1"/>
  <c r="F1538" i="1"/>
  <c r="C1538" i="1"/>
  <c r="F1537" i="1"/>
  <c r="C1537" i="1"/>
  <c r="F1536" i="1"/>
  <c r="C1536" i="1"/>
  <c r="F1535" i="1"/>
  <c r="C1535" i="1"/>
  <c r="F1534" i="1"/>
  <c r="C1534" i="1"/>
  <c r="F1533" i="1"/>
  <c r="C1533" i="1"/>
  <c r="F1532" i="1"/>
  <c r="C1532" i="1"/>
  <c r="F1531" i="1"/>
  <c r="C1531" i="1"/>
  <c r="F1530" i="1"/>
  <c r="C1530" i="1"/>
  <c r="F1529" i="1"/>
  <c r="C1529" i="1"/>
  <c r="F1528" i="1"/>
  <c r="C1528" i="1"/>
  <c r="F1527" i="1"/>
  <c r="C1527" i="1"/>
  <c r="F1526" i="1"/>
  <c r="C1526" i="1"/>
  <c r="F1525" i="1"/>
  <c r="C1525" i="1"/>
  <c r="F1524" i="1"/>
  <c r="C1524" i="1"/>
  <c r="F1523" i="1"/>
  <c r="C1523" i="1"/>
  <c r="F1522" i="1"/>
  <c r="C1522" i="1"/>
  <c r="F1521" i="1"/>
  <c r="C1521" i="1"/>
  <c r="F1520" i="1"/>
  <c r="C1520" i="1"/>
  <c r="F1519" i="1"/>
  <c r="C1519" i="1"/>
  <c r="F1518" i="1"/>
  <c r="C1518" i="1"/>
  <c r="F1517" i="1"/>
  <c r="C1517" i="1"/>
  <c r="F1516" i="1"/>
  <c r="C1516" i="1"/>
  <c r="F1515" i="1"/>
  <c r="C1515" i="1"/>
  <c r="F1514" i="1"/>
  <c r="C1514" i="1"/>
  <c r="F1513" i="1"/>
  <c r="C1513" i="1"/>
  <c r="F1512" i="1"/>
  <c r="C1512" i="1"/>
  <c r="F1511" i="1"/>
  <c r="C1511" i="1"/>
  <c r="F1510" i="1"/>
  <c r="C1510" i="1"/>
  <c r="F1509" i="1"/>
  <c r="C1509" i="1"/>
  <c r="F1508" i="1"/>
  <c r="C1508" i="1"/>
  <c r="F1507" i="1"/>
  <c r="C1507" i="1"/>
  <c r="F1506" i="1"/>
  <c r="C1506" i="1"/>
  <c r="F1505" i="1"/>
  <c r="C1505" i="1"/>
  <c r="F1504" i="1"/>
  <c r="C1504" i="1"/>
  <c r="F1503" i="1"/>
  <c r="C1503" i="1"/>
  <c r="F1502" i="1"/>
  <c r="C1502" i="1"/>
  <c r="F1501" i="1"/>
  <c r="C1501" i="1"/>
  <c r="F1500" i="1"/>
  <c r="C1500" i="1"/>
  <c r="F1499" i="1"/>
  <c r="C1499" i="1"/>
  <c r="F1498" i="1"/>
  <c r="C1498" i="1"/>
  <c r="F1497" i="1"/>
  <c r="C1497" i="1"/>
  <c r="F1496" i="1"/>
  <c r="C1496" i="1"/>
  <c r="F1495" i="1"/>
  <c r="C1495" i="1"/>
  <c r="F1494" i="1"/>
  <c r="C1494" i="1"/>
  <c r="F1493" i="1"/>
  <c r="C1493" i="1"/>
  <c r="F1492" i="1"/>
  <c r="C1492" i="1"/>
  <c r="F1491" i="1"/>
  <c r="C1491" i="1"/>
  <c r="F1490" i="1"/>
  <c r="C1490" i="1"/>
  <c r="F1489" i="1"/>
  <c r="C1489" i="1"/>
  <c r="F1488" i="1"/>
  <c r="C1488" i="1"/>
  <c r="F1487" i="1"/>
  <c r="C1487" i="1"/>
  <c r="F1486" i="1"/>
  <c r="C1486" i="1"/>
  <c r="F1485" i="1"/>
  <c r="C1485" i="1"/>
  <c r="F1484" i="1"/>
  <c r="C1484" i="1"/>
  <c r="F1483" i="1"/>
  <c r="C1483" i="1"/>
  <c r="F1482" i="1"/>
  <c r="C1482" i="1"/>
  <c r="F1481" i="1"/>
  <c r="C1481" i="1"/>
  <c r="F1480" i="1"/>
  <c r="C1480" i="1"/>
  <c r="F1479" i="1"/>
  <c r="C1479" i="1"/>
  <c r="F1478" i="1"/>
  <c r="C1478" i="1"/>
  <c r="F1477" i="1"/>
  <c r="C1477" i="1"/>
  <c r="F1476" i="1"/>
  <c r="C1476" i="1"/>
  <c r="F1475" i="1"/>
  <c r="C1475" i="1"/>
  <c r="F1474" i="1"/>
  <c r="C1474" i="1"/>
  <c r="F1473" i="1"/>
  <c r="C1473" i="1"/>
  <c r="F1472" i="1"/>
  <c r="C1472" i="1"/>
  <c r="F1471" i="1"/>
  <c r="C1471" i="1"/>
  <c r="F1470" i="1"/>
  <c r="C1470" i="1"/>
  <c r="F1469" i="1"/>
  <c r="C1469" i="1"/>
  <c r="F1468" i="1"/>
  <c r="C1468" i="1"/>
  <c r="F1467" i="1"/>
  <c r="C1467" i="1"/>
  <c r="F1466" i="1"/>
  <c r="C1466" i="1"/>
  <c r="F1465" i="1"/>
  <c r="C1465" i="1"/>
  <c r="F1464" i="1"/>
  <c r="C1464" i="1"/>
  <c r="F1463" i="1"/>
  <c r="C1463" i="1"/>
  <c r="F1462" i="1"/>
  <c r="C1462" i="1"/>
  <c r="F1461" i="1"/>
  <c r="C1461" i="1"/>
  <c r="F1460" i="1"/>
  <c r="C1460" i="1"/>
  <c r="F1459" i="1"/>
  <c r="C1459" i="1"/>
  <c r="F1458" i="1"/>
  <c r="C1458" i="1"/>
  <c r="F1457" i="1"/>
  <c r="C1457" i="1"/>
  <c r="F1456" i="1"/>
  <c r="C1456" i="1"/>
  <c r="F1455" i="1"/>
  <c r="C1455" i="1"/>
  <c r="F1454" i="1"/>
  <c r="C1454" i="1"/>
  <c r="F1453" i="1"/>
  <c r="C1453" i="1"/>
  <c r="F1452" i="1"/>
  <c r="C1452" i="1"/>
  <c r="F1451" i="1"/>
  <c r="C1451" i="1"/>
  <c r="F1450" i="1"/>
  <c r="C1450" i="1"/>
  <c r="F1449" i="1"/>
  <c r="C1449" i="1"/>
  <c r="F1448" i="1"/>
  <c r="C1448" i="1"/>
  <c r="F1447" i="1"/>
  <c r="C1447" i="1"/>
  <c r="F1446" i="1"/>
  <c r="C1446" i="1"/>
  <c r="F1445" i="1"/>
  <c r="C1445" i="1"/>
  <c r="F1444" i="1"/>
  <c r="C1444" i="1"/>
  <c r="F1443" i="1"/>
  <c r="C1443" i="1"/>
  <c r="F1442" i="1"/>
  <c r="C1442" i="1"/>
  <c r="F1441" i="1"/>
  <c r="C1441" i="1"/>
  <c r="F1440" i="1"/>
  <c r="C1440" i="1"/>
  <c r="F1439" i="1"/>
  <c r="C1439" i="1"/>
  <c r="F1438" i="1"/>
  <c r="C1438" i="1"/>
  <c r="F1437" i="1"/>
  <c r="C1437" i="1"/>
  <c r="F1436" i="1"/>
  <c r="C1436" i="1"/>
  <c r="F1435" i="1"/>
  <c r="C1435" i="1"/>
  <c r="F1434" i="1"/>
  <c r="C1434" i="1"/>
  <c r="F1433" i="1"/>
  <c r="C1433" i="1"/>
  <c r="F1432" i="1"/>
  <c r="C1432" i="1"/>
  <c r="F1431" i="1"/>
  <c r="C1431" i="1"/>
  <c r="F1430" i="1"/>
  <c r="C1430" i="1"/>
  <c r="F1429" i="1"/>
  <c r="C1429" i="1"/>
  <c r="F1428" i="1"/>
  <c r="C1428" i="1"/>
  <c r="F1427" i="1"/>
  <c r="C1427" i="1"/>
  <c r="F1426" i="1"/>
  <c r="C1426" i="1"/>
  <c r="F1425" i="1"/>
  <c r="C1425" i="1"/>
  <c r="F1424" i="1"/>
  <c r="C1424" i="1"/>
  <c r="F1423" i="1"/>
  <c r="C1423" i="1"/>
  <c r="F1422" i="1"/>
  <c r="C1422" i="1"/>
  <c r="F1421" i="1"/>
  <c r="C1421" i="1"/>
  <c r="F1420" i="1"/>
  <c r="C1420" i="1"/>
  <c r="F1419" i="1"/>
  <c r="C1419" i="1"/>
  <c r="F1418" i="1"/>
  <c r="C1418" i="1"/>
  <c r="F1417" i="1"/>
  <c r="C1417" i="1"/>
  <c r="F1416" i="1"/>
  <c r="C1416" i="1"/>
  <c r="F1415" i="1"/>
  <c r="C1415" i="1"/>
  <c r="F1414" i="1"/>
  <c r="C1414" i="1"/>
  <c r="F1413" i="1"/>
  <c r="C1413" i="1"/>
  <c r="F1412" i="1"/>
  <c r="C1412" i="1"/>
  <c r="F1411" i="1"/>
  <c r="C1411" i="1"/>
  <c r="F1410" i="1"/>
  <c r="C1410" i="1"/>
  <c r="F1409" i="1"/>
  <c r="C1409" i="1"/>
  <c r="F1408" i="1"/>
  <c r="C1408" i="1"/>
  <c r="F1407" i="1"/>
  <c r="C1407" i="1"/>
  <c r="F1406" i="1"/>
  <c r="C1406" i="1"/>
  <c r="F1405" i="1"/>
  <c r="C1405" i="1"/>
  <c r="F1404" i="1"/>
  <c r="C1404" i="1"/>
  <c r="F1403" i="1"/>
  <c r="C1403" i="1"/>
  <c r="F1402" i="1"/>
  <c r="C1402" i="1"/>
  <c r="F1401" i="1"/>
  <c r="C1401" i="1"/>
  <c r="F1400" i="1"/>
  <c r="C1400" i="1"/>
  <c r="F1399" i="1"/>
  <c r="C1399" i="1"/>
  <c r="F1398" i="1"/>
  <c r="C1398" i="1"/>
  <c r="F1397" i="1"/>
  <c r="C1397" i="1"/>
  <c r="F1396" i="1"/>
  <c r="C1396" i="1"/>
  <c r="F1395" i="1"/>
  <c r="C1395" i="1"/>
  <c r="F1394" i="1"/>
  <c r="C1394" i="1"/>
  <c r="F1393" i="1"/>
  <c r="C1393" i="1"/>
  <c r="F1392" i="1"/>
  <c r="C1392" i="1"/>
  <c r="F1391" i="1"/>
  <c r="C1391" i="1"/>
  <c r="F1390" i="1"/>
  <c r="C1390" i="1"/>
  <c r="F1389" i="1"/>
  <c r="C1389" i="1"/>
  <c r="F1388" i="1"/>
  <c r="C1388" i="1"/>
  <c r="F1387" i="1"/>
  <c r="C1387" i="1"/>
  <c r="F1386" i="1"/>
  <c r="C1386" i="1"/>
  <c r="F1385" i="1"/>
  <c r="C1385" i="1"/>
  <c r="F1384" i="1"/>
  <c r="C1384" i="1"/>
  <c r="F1383" i="1"/>
  <c r="C1383" i="1"/>
  <c r="F1382" i="1"/>
  <c r="C1382" i="1"/>
  <c r="F1381" i="1"/>
  <c r="C1381" i="1"/>
  <c r="F1380" i="1"/>
  <c r="C1380" i="1"/>
  <c r="F1379" i="1"/>
  <c r="C1379" i="1"/>
  <c r="F1378" i="1"/>
  <c r="C1378" i="1"/>
  <c r="F1377" i="1"/>
  <c r="C1377" i="1"/>
  <c r="F1376" i="1"/>
  <c r="C1376" i="1"/>
  <c r="F1375" i="1"/>
  <c r="C1375" i="1"/>
  <c r="F1374" i="1"/>
  <c r="C1374" i="1"/>
  <c r="F1373" i="1"/>
  <c r="C1373" i="1"/>
  <c r="F1372" i="1"/>
  <c r="C1372" i="1"/>
  <c r="F1371" i="1"/>
  <c r="C1371" i="1"/>
  <c r="F1370" i="1"/>
  <c r="C1370" i="1"/>
  <c r="F1369" i="1"/>
  <c r="C1369" i="1"/>
  <c r="F1368" i="1"/>
  <c r="C1368" i="1"/>
  <c r="F1367" i="1"/>
  <c r="C1367" i="1"/>
  <c r="F1366" i="1"/>
  <c r="C1366" i="1"/>
  <c r="F1365" i="1"/>
  <c r="C1365" i="1"/>
  <c r="F1364" i="1"/>
  <c r="C1364" i="1"/>
  <c r="F1363" i="1"/>
  <c r="C1363" i="1"/>
  <c r="F1362" i="1"/>
  <c r="C1362" i="1"/>
  <c r="F1361" i="1"/>
  <c r="C1361" i="1"/>
  <c r="F1360" i="1"/>
  <c r="C1360" i="1"/>
  <c r="F1359" i="1"/>
  <c r="C1359" i="1"/>
  <c r="F1358" i="1"/>
  <c r="C1358" i="1"/>
  <c r="F1357" i="1"/>
  <c r="C1357" i="1"/>
  <c r="F1356" i="1"/>
  <c r="C1356" i="1"/>
  <c r="F1355" i="1"/>
  <c r="C1355" i="1"/>
  <c r="F1354" i="1"/>
  <c r="C1354" i="1"/>
  <c r="F1353" i="1"/>
  <c r="C1353" i="1"/>
  <c r="F1352" i="1"/>
  <c r="C1352" i="1"/>
  <c r="F1351" i="1"/>
  <c r="C1351" i="1"/>
  <c r="F1350" i="1"/>
  <c r="C1350" i="1"/>
  <c r="F1349" i="1"/>
  <c r="C1349" i="1"/>
  <c r="F1348" i="1"/>
  <c r="C1348" i="1"/>
  <c r="F1347" i="1"/>
  <c r="C1347" i="1"/>
  <c r="F1346" i="1"/>
  <c r="C1346" i="1"/>
  <c r="F1345" i="1"/>
  <c r="C1345" i="1"/>
  <c r="F1344" i="1"/>
  <c r="C1344" i="1"/>
  <c r="F1343" i="1"/>
  <c r="C1343" i="1"/>
  <c r="F1342" i="1"/>
  <c r="C1342" i="1"/>
  <c r="F1341" i="1"/>
  <c r="C1341" i="1"/>
  <c r="F1340" i="1"/>
  <c r="C1340" i="1"/>
  <c r="F1339" i="1"/>
  <c r="C1339" i="1"/>
  <c r="F1338" i="1"/>
  <c r="C1338" i="1"/>
  <c r="F1337" i="1"/>
  <c r="C1337" i="1"/>
  <c r="F1336" i="1"/>
  <c r="C1336" i="1"/>
  <c r="F1335" i="1"/>
  <c r="C1335" i="1"/>
  <c r="F1334" i="1"/>
  <c r="C1334" i="1"/>
  <c r="F1333" i="1"/>
  <c r="C1333" i="1"/>
  <c r="F1332" i="1"/>
  <c r="C1332" i="1"/>
  <c r="F1331" i="1"/>
  <c r="C1331" i="1"/>
  <c r="F1330" i="1"/>
  <c r="C1330" i="1"/>
  <c r="F1329" i="1"/>
  <c r="C1329" i="1"/>
  <c r="F1328" i="1"/>
  <c r="C1328" i="1"/>
  <c r="F1327" i="1"/>
  <c r="C1327" i="1"/>
  <c r="F1326" i="1"/>
  <c r="C1326" i="1"/>
  <c r="F1325" i="1"/>
  <c r="C1325" i="1"/>
  <c r="F1324" i="1"/>
  <c r="C1324" i="1"/>
  <c r="F1323" i="1"/>
  <c r="C1323" i="1"/>
  <c r="F1322" i="1"/>
  <c r="C1322" i="1"/>
  <c r="F1321" i="1"/>
  <c r="C1321" i="1"/>
  <c r="F1320" i="1"/>
  <c r="C1320" i="1"/>
  <c r="F1319" i="1"/>
  <c r="C1319" i="1"/>
  <c r="F1318" i="1"/>
  <c r="C1318" i="1"/>
  <c r="F1317" i="1"/>
  <c r="C1317" i="1"/>
  <c r="F1316" i="1"/>
  <c r="C1316" i="1"/>
  <c r="F1315" i="1"/>
  <c r="C1315" i="1"/>
  <c r="F1314" i="1"/>
  <c r="C1314" i="1"/>
  <c r="F1313" i="1"/>
  <c r="C1313" i="1"/>
  <c r="F1312" i="1"/>
  <c r="C1312" i="1"/>
  <c r="F1311" i="1"/>
  <c r="C1311" i="1"/>
  <c r="F1310" i="1"/>
  <c r="C1310" i="1"/>
  <c r="F1309" i="1"/>
  <c r="C1309" i="1"/>
  <c r="F1308" i="1"/>
  <c r="C1308" i="1"/>
  <c r="F1307" i="1"/>
  <c r="C1307" i="1"/>
  <c r="F1306" i="1"/>
  <c r="C1306" i="1"/>
  <c r="F1305" i="1"/>
  <c r="C1305" i="1"/>
  <c r="F1304" i="1"/>
  <c r="C1304" i="1"/>
  <c r="F1303" i="1"/>
  <c r="C1303" i="1"/>
  <c r="F1302" i="1"/>
  <c r="C1302" i="1"/>
  <c r="F1301" i="1"/>
  <c r="C1301" i="1"/>
  <c r="F1300" i="1"/>
  <c r="C1300" i="1"/>
  <c r="F1299" i="1"/>
  <c r="C1299" i="1"/>
  <c r="F1298" i="1"/>
  <c r="C1298" i="1"/>
  <c r="F1297" i="1"/>
  <c r="C1297" i="1"/>
  <c r="F1296" i="1"/>
  <c r="C1296" i="1"/>
  <c r="F1295" i="1"/>
  <c r="C1295" i="1"/>
  <c r="F1294" i="1"/>
  <c r="C1294" i="1"/>
  <c r="F1293" i="1"/>
  <c r="C1293" i="1"/>
  <c r="F1292" i="1"/>
  <c r="C1292" i="1"/>
  <c r="F1291" i="1"/>
  <c r="C1291" i="1"/>
  <c r="F1290" i="1"/>
  <c r="C1290" i="1"/>
  <c r="F1289" i="1"/>
  <c r="C1289" i="1"/>
  <c r="F1288" i="1"/>
  <c r="C1288" i="1"/>
  <c r="F1287" i="1"/>
  <c r="C1287" i="1"/>
  <c r="F1286" i="1"/>
  <c r="C1286" i="1"/>
  <c r="F1285" i="1"/>
  <c r="C1285" i="1"/>
  <c r="F1284" i="1"/>
  <c r="C1284" i="1"/>
  <c r="F1283" i="1"/>
  <c r="C1283" i="1"/>
  <c r="F1282" i="1"/>
  <c r="C1282" i="1"/>
  <c r="F1281" i="1"/>
  <c r="C1281" i="1"/>
  <c r="F1280" i="1"/>
  <c r="C1280" i="1"/>
  <c r="F1279" i="1"/>
  <c r="C1279" i="1"/>
  <c r="F1278" i="1"/>
  <c r="C1278" i="1"/>
  <c r="F1277" i="1"/>
  <c r="C1277" i="1"/>
  <c r="F1276" i="1"/>
  <c r="C1276" i="1"/>
  <c r="F1275" i="1"/>
  <c r="C1275" i="1"/>
  <c r="F1274" i="1"/>
  <c r="C1274" i="1"/>
  <c r="F1273" i="1"/>
  <c r="C1273" i="1"/>
  <c r="F1272" i="1"/>
  <c r="C1272" i="1"/>
  <c r="F1271" i="1"/>
  <c r="C1271" i="1"/>
  <c r="F1270" i="1"/>
  <c r="C1270" i="1"/>
  <c r="F1269" i="1"/>
  <c r="C1269" i="1"/>
  <c r="F1268" i="1"/>
  <c r="C1268" i="1"/>
  <c r="F1267" i="1"/>
  <c r="C1267" i="1"/>
  <c r="F1266" i="1"/>
  <c r="C1266" i="1"/>
  <c r="F1265" i="1"/>
  <c r="C1265" i="1"/>
  <c r="F1264" i="1"/>
  <c r="C1264" i="1"/>
  <c r="F1263" i="1"/>
  <c r="C1263" i="1"/>
  <c r="F1262" i="1"/>
  <c r="C1262" i="1"/>
  <c r="F1261" i="1"/>
  <c r="C1261" i="1"/>
  <c r="F1260" i="1"/>
  <c r="C1260" i="1"/>
  <c r="F1259" i="1"/>
  <c r="C1259" i="1"/>
  <c r="F1258" i="1"/>
  <c r="C1258" i="1"/>
  <c r="F1257" i="1"/>
  <c r="C1257" i="1"/>
  <c r="F1256" i="1"/>
  <c r="C1256" i="1"/>
  <c r="F1255" i="1"/>
  <c r="C1255" i="1"/>
  <c r="F1254" i="1"/>
  <c r="C1254" i="1"/>
  <c r="F1253" i="1"/>
  <c r="C1253" i="1"/>
  <c r="F1252" i="1"/>
  <c r="C1252" i="1"/>
  <c r="F1251" i="1"/>
  <c r="C1251" i="1"/>
  <c r="F1250" i="1"/>
  <c r="C1250" i="1"/>
  <c r="F1249" i="1"/>
  <c r="C1249" i="1"/>
  <c r="F1248" i="1"/>
  <c r="C1248" i="1"/>
  <c r="F1247" i="1"/>
  <c r="C1247" i="1"/>
  <c r="F1246" i="1"/>
  <c r="C1246" i="1"/>
  <c r="F1245" i="1"/>
  <c r="C1245" i="1"/>
  <c r="F1244" i="1"/>
  <c r="C1244" i="1"/>
  <c r="F1243" i="1"/>
  <c r="C1243" i="1"/>
  <c r="F1242" i="1"/>
  <c r="C1242" i="1"/>
  <c r="F1241" i="1"/>
  <c r="C1241" i="1"/>
  <c r="F1240" i="1"/>
  <c r="C1240" i="1"/>
  <c r="F1239" i="1"/>
  <c r="C1239" i="1"/>
  <c r="F1238" i="1"/>
  <c r="C1238" i="1"/>
  <c r="F1237" i="1"/>
  <c r="C1237" i="1"/>
  <c r="F1236" i="1"/>
  <c r="C1236" i="1"/>
  <c r="F1235" i="1"/>
  <c r="C1235" i="1"/>
  <c r="F1234" i="1"/>
  <c r="C1234" i="1"/>
  <c r="F1233" i="1"/>
  <c r="C1233" i="1"/>
  <c r="F1232" i="1"/>
  <c r="C1232" i="1"/>
  <c r="F1231" i="1"/>
  <c r="C1231" i="1"/>
  <c r="F1230" i="1"/>
  <c r="C1230" i="1"/>
  <c r="F1229" i="1"/>
  <c r="C1229" i="1"/>
  <c r="F1228" i="1"/>
  <c r="C1228" i="1"/>
  <c r="F1227" i="1"/>
  <c r="C1227" i="1"/>
  <c r="F1226" i="1"/>
  <c r="C1226" i="1"/>
  <c r="F1225" i="1"/>
  <c r="C1225" i="1"/>
  <c r="F1224" i="1"/>
  <c r="C1224" i="1"/>
  <c r="F1223" i="1"/>
  <c r="C1223" i="1"/>
  <c r="F1222" i="1"/>
  <c r="C1222" i="1"/>
  <c r="F1221" i="1"/>
  <c r="C1221" i="1"/>
  <c r="F1220" i="1"/>
  <c r="C1220" i="1"/>
  <c r="F1219" i="1"/>
  <c r="C1219" i="1"/>
  <c r="F1218" i="1"/>
  <c r="C1218" i="1"/>
  <c r="F1217" i="1"/>
  <c r="C1217" i="1"/>
  <c r="F1216" i="1"/>
  <c r="C1216" i="1"/>
  <c r="F1215" i="1"/>
  <c r="C1215" i="1"/>
  <c r="F1214" i="1"/>
  <c r="C1214" i="1"/>
  <c r="F1213" i="1"/>
  <c r="C1213" i="1"/>
  <c r="F1212" i="1"/>
  <c r="C1212" i="1"/>
  <c r="F1211" i="1"/>
  <c r="C1211" i="1"/>
  <c r="F1210" i="1"/>
  <c r="C1210" i="1"/>
  <c r="F1209" i="1"/>
  <c r="C1209" i="1"/>
  <c r="F1208" i="1"/>
  <c r="C1208" i="1"/>
  <c r="F1207" i="1"/>
  <c r="C1207" i="1"/>
  <c r="F1206" i="1"/>
  <c r="C1206" i="1"/>
  <c r="F1205" i="1"/>
  <c r="C1205" i="1"/>
  <c r="F1204" i="1"/>
  <c r="C1204" i="1"/>
  <c r="F1203" i="1"/>
  <c r="C1203" i="1"/>
  <c r="F1202" i="1"/>
  <c r="C1202" i="1"/>
  <c r="F1201" i="1"/>
  <c r="C1201" i="1"/>
  <c r="F1200" i="1"/>
  <c r="C1200" i="1"/>
  <c r="F1199" i="1"/>
  <c r="C1199" i="1"/>
  <c r="F1198" i="1"/>
  <c r="C1198" i="1"/>
  <c r="F1197" i="1"/>
  <c r="C1197" i="1"/>
  <c r="F1196" i="1"/>
  <c r="C1196" i="1"/>
  <c r="F1195" i="1"/>
  <c r="C1195" i="1"/>
  <c r="F1194" i="1"/>
  <c r="C1194" i="1"/>
  <c r="F1193" i="1"/>
  <c r="C1193" i="1"/>
  <c r="F1192" i="1"/>
  <c r="C1192" i="1"/>
  <c r="F1191" i="1"/>
  <c r="C1191" i="1"/>
  <c r="F1190" i="1"/>
  <c r="C1190" i="1"/>
  <c r="F1189" i="1"/>
  <c r="C1189" i="1"/>
  <c r="F1188" i="1"/>
  <c r="C1188" i="1"/>
  <c r="F1187" i="1"/>
  <c r="C1187" i="1"/>
  <c r="F1186" i="1"/>
  <c r="C1186" i="1"/>
  <c r="F1185" i="1"/>
  <c r="C1185" i="1"/>
  <c r="F1184" i="1"/>
  <c r="C1184" i="1"/>
  <c r="F1183" i="1"/>
  <c r="C1183" i="1"/>
  <c r="F1182" i="1"/>
  <c r="C1182" i="1"/>
  <c r="F1181" i="1"/>
  <c r="C1181" i="1"/>
  <c r="F1180" i="1"/>
  <c r="C1180" i="1"/>
  <c r="F1179" i="1"/>
  <c r="C1179" i="1"/>
  <c r="F1178" i="1"/>
  <c r="C1178" i="1"/>
  <c r="F1177" i="1"/>
  <c r="C1177" i="1"/>
  <c r="F1176" i="1"/>
  <c r="C1176" i="1"/>
  <c r="F1175" i="1"/>
  <c r="C1175" i="1"/>
  <c r="F1174" i="1"/>
  <c r="C1174" i="1"/>
  <c r="F1173" i="1"/>
  <c r="C1173" i="1"/>
  <c r="F1172" i="1"/>
  <c r="C1172" i="1"/>
  <c r="F1171" i="1"/>
  <c r="C1171" i="1"/>
  <c r="F1170" i="1"/>
  <c r="C1170" i="1"/>
  <c r="F1169" i="1"/>
  <c r="C1169" i="1"/>
  <c r="F1168" i="1"/>
  <c r="C1168" i="1"/>
  <c r="F1167" i="1"/>
  <c r="C1167" i="1"/>
  <c r="F1166" i="1"/>
  <c r="C1166" i="1"/>
  <c r="F1165" i="1"/>
  <c r="C1165" i="1"/>
  <c r="F1164" i="1"/>
  <c r="C1164" i="1"/>
  <c r="F1163" i="1"/>
  <c r="C1163" i="1"/>
  <c r="F1162" i="1"/>
  <c r="C1162" i="1"/>
  <c r="F1161" i="1"/>
  <c r="C1161" i="1"/>
  <c r="F1160" i="1"/>
  <c r="C1160" i="1"/>
  <c r="F1159" i="1"/>
  <c r="C1159" i="1"/>
  <c r="F1158" i="1"/>
  <c r="C1158" i="1"/>
  <c r="F1157" i="1"/>
  <c r="C1157" i="1"/>
  <c r="F1156" i="1"/>
  <c r="C1156" i="1"/>
  <c r="F1155" i="1"/>
  <c r="C1155" i="1"/>
  <c r="F1154" i="1"/>
  <c r="C1154" i="1"/>
  <c r="F1153" i="1"/>
  <c r="C1153" i="1"/>
  <c r="F1152" i="1"/>
  <c r="C1152" i="1"/>
  <c r="F1151" i="1"/>
  <c r="C1151" i="1"/>
  <c r="F1150" i="1"/>
  <c r="C1150" i="1"/>
  <c r="F1149" i="1"/>
  <c r="C1149" i="1"/>
  <c r="F1148" i="1"/>
  <c r="C1148" i="1"/>
  <c r="F1147" i="1"/>
  <c r="C1147" i="1"/>
  <c r="F1146" i="1"/>
  <c r="C1146" i="1"/>
  <c r="F1145" i="1"/>
  <c r="C1145" i="1"/>
  <c r="F1144" i="1"/>
  <c r="C1144" i="1"/>
  <c r="F1143" i="1"/>
  <c r="C1143" i="1"/>
  <c r="F1142" i="1"/>
  <c r="C1142" i="1"/>
  <c r="F1141" i="1"/>
  <c r="C1141" i="1"/>
  <c r="F1140" i="1"/>
  <c r="C1140" i="1"/>
  <c r="F1139" i="1"/>
  <c r="C1139" i="1"/>
  <c r="F1138" i="1"/>
  <c r="C1138" i="1"/>
  <c r="F1137" i="1"/>
  <c r="C1137" i="1"/>
  <c r="F1136" i="1"/>
  <c r="C1136" i="1"/>
  <c r="F1135" i="1"/>
  <c r="C1135" i="1"/>
  <c r="F1134" i="1"/>
  <c r="C1134" i="1"/>
  <c r="F1133" i="1"/>
  <c r="C1133" i="1"/>
  <c r="F1132" i="1"/>
  <c r="C1132" i="1"/>
  <c r="F1131" i="1"/>
  <c r="C1131" i="1"/>
  <c r="F1130" i="1"/>
  <c r="C1130" i="1"/>
  <c r="F1129" i="1"/>
  <c r="C1129" i="1"/>
  <c r="F1128" i="1"/>
  <c r="C1128" i="1"/>
  <c r="F1127" i="1"/>
  <c r="C1127" i="1"/>
  <c r="F1126" i="1"/>
  <c r="C1126" i="1"/>
  <c r="F1125" i="1"/>
  <c r="C1125" i="1"/>
  <c r="F1124" i="1"/>
  <c r="C1124" i="1"/>
  <c r="F1123" i="1"/>
  <c r="C1123" i="1"/>
  <c r="F1122" i="1"/>
  <c r="C1122" i="1"/>
  <c r="F1121" i="1"/>
  <c r="C1121" i="1"/>
  <c r="F1120" i="1"/>
  <c r="C1120" i="1"/>
  <c r="F1119" i="1"/>
  <c r="C1119" i="1"/>
  <c r="F1118" i="1"/>
  <c r="C1118" i="1"/>
  <c r="F1117" i="1"/>
  <c r="C1117" i="1"/>
  <c r="F1116" i="1"/>
  <c r="C1116" i="1"/>
  <c r="F1115" i="1"/>
  <c r="C1115" i="1"/>
  <c r="F1114" i="1"/>
  <c r="C1114" i="1"/>
  <c r="F1113" i="1"/>
  <c r="C1113" i="1"/>
  <c r="F1112" i="1"/>
  <c r="C1112" i="1"/>
  <c r="F1111" i="1"/>
  <c r="C1111" i="1"/>
  <c r="F1110" i="1"/>
  <c r="C1110" i="1"/>
  <c r="F1109" i="1"/>
  <c r="C1109" i="1"/>
  <c r="F1108" i="1"/>
  <c r="C1108" i="1"/>
  <c r="F1107" i="1"/>
  <c r="C1107" i="1"/>
  <c r="F1106" i="1"/>
  <c r="C1106" i="1"/>
  <c r="F1105" i="1"/>
  <c r="C1105" i="1"/>
  <c r="F1104" i="1"/>
  <c r="C1104" i="1"/>
  <c r="F1103" i="1"/>
  <c r="C1103" i="1"/>
  <c r="F1102" i="1"/>
  <c r="C1102" i="1"/>
  <c r="F1101" i="1"/>
  <c r="C1101" i="1"/>
  <c r="F1100" i="1"/>
  <c r="C1100" i="1"/>
  <c r="F1099" i="1"/>
  <c r="C1099" i="1"/>
  <c r="F1098" i="1"/>
  <c r="C1098" i="1"/>
  <c r="F1097" i="1"/>
  <c r="C1097" i="1"/>
  <c r="F1096" i="1"/>
  <c r="C1096" i="1"/>
  <c r="F1095" i="1"/>
  <c r="C1095" i="1"/>
  <c r="F1094" i="1"/>
  <c r="C1094" i="1"/>
  <c r="F1093" i="1"/>
  <c r="C1093" i="1"/>
  <c r="F1092" i="1"/>
  <c r="C1092" i="1"/>
  <c r="F1091" i="1"/>
  <c r="C1091" i="1"/>
  <c r="F1090" i="1"/>
  <c r="C1090" i="1"/>
  <c r="F1089" i="1"/>
  <c r="C1089" i="1"/>
  <c r="F1088" i="1"/>
  <c r="C1088" i="1"/>
  <c r="F1087" i="1"/>
  <c r="C1087" i="1"/>
  <c r="F1086" i="1"/>
  <c r="C1086" i="1"/>
  <c r="F1085" i="1"/>
  <c r="C1085" i="1"/>
  <c r="F1084" i="1"/>
  <c r="C1084" i="1"/>
  <c r="F1083" i="1"/>
  <c r="C1083" i="1"/>
  <c r="F1082" i="1"/>
  <c r="C1082" i="1"/>
  <c r="F1081" i="1"/>
  <c r="C1081" i="1"/>
  <c r="F1080" i="1"/>
  <c r="C1080" i="1"/>
  <c r="F1079" i="1"/>
  <c r="C1079" i="1"/>
  <c r="F1078" i="1"/>
  <c r="C1078" i="1"/>
  <c r="F1077" i="1"/>
  <c r="C1077" i="1"/>
  <c r="F1076" i="1"/>
  <c r="C1076" i="1"/>
  <c r="F1075" i="1"/>
  <c r="C1075" i="1"/>
  <c r="F1074" i="1"/>
  <c r="C1074" i="1"/>
  <c r="F1073" i="1"/>
  <c r="C1073" i="1"/>
  <c r="F1072" i="1"/>
  <c r="C1072" i="1"/>
  <c r="F1071" i="1"/>
  <c r="C1071" i="1"/>
  <c r="F1070" i="1"/>
  <c r="C1070" i="1"/>
  <c r="F1069" i="1"/>
  <c r="C1069" i="1"/>
  <c r="F1068" i="1"/>
  <c r="C1068" i="1"/>
  <c r="F1067" i="1"/>
  <c r="C1067" i="1"/>
  <c r="F1066" i="1"/>
  <c r="C1066" i="1"/>
  <c r="F1065" i="1"/>
  <c r="C1065" i="1"/>
  <c r="F1064" i="1"/>
  <c r="C1064" i="1"/>
  <c r="F1063" i="1"/>
  <c r="C1063" i="1"/>
  <c r="F1062" i="1"/>
  <c r="C1062" i="1"/>
  <c r="F1061" i="1"/>
  <c r="C1061" i="1"/>
  <c r="F1060" i="1"/>
  <c r="C1060" i="1"/>
  <c r="F1059" i="1"/>
  <c r="C1059" i="1"/>
  <c r="F1058" i="1"/>
  <c r="C1058" i="1"/>
  <c r="F1057" i="1"/>
  <c r="C1057" i="1"/>
  <c r="F1056" i="1"/>
  <c r="C1056" i="1"/>
  <c r="F1055" i="1"/>
  <c r="C1055" i="1"/>
  <c r="F1054" i="1"/>
  <c r="C1054" i="1"/>
  <c r="F1053" i="1"/>
  <c r="C1053" i="1"/>
  <c r="F1052" i="1"/>
  <c r="C1052" i="1"/>
  <c r="F1051" i="1"/>
  <c r="C1051" i="1"/>
  <c r="F1050" i="1"/>
  <c r="C1050" i="1"/>
  <c r="F1049" i="1"/>
  <c r="C1049" i="1"/>
  <c r="F1048" i="1"/>
  <c r="C1048" i="1"/>
  <c r="F1047" i="1"/>
  <c r="C1047" i="1"/>
  <c r="F1046" i="1"/>
  <c r="C1046" i="1"/>
  <c r="F1045" i="1"/>
  <c r="C1045" i="1"/>
  <c r="F1044" i="1"/>
  <c r="C1044" i="1"/>
  <c r="F1043" i="1"/>
  <c r="C1043" i="1"/>
  <c r="F1042" i="1"/>
  <c r="C1042" i="1"/>
  <c r="F1041" i="1"/>
  <c r="C1041" i="1"/>
  <c r="F1040" i="1"/>
  <c r="C1040" i="1"/>
  <c r="F1039" i="1"/>
  <c r="C1039" i="1"/>
  <c r="F1038" i="1"/>
  <c r="C1038" i="1"/>
  <c r="F1037" i="1"/>
  <c r="C1037" i="1"/>
  <c r="F1036" i="1"/>
  <c r="C1036" i="1"/>
  <c r="F1035" i="1"/>
  <c r="C1035" i="1"/>
  <c r="F1034" i="1"/>
  <c r="C1034" i="1"/>
  <c r="F1033" i="1"/>
  <c r="C1033" i="1"/>
  <c r="F1032" i="1"/>
  <c r="C1032" i="1"/>
  <c r="F1031" i="1"/>
  <c r="C1031" i="1"/>
  <c r="F1030" i="1"/>
  <c r="C1030" i="1"/>
  <c r="F1029" i="1"/>
  <c r="C1029" i="1"/>
  <c r="F1028" i="1"/>
  <c r="C1028" i="1"/>
  <c r="F1027" i="1"/>
  <c r="C1027" i="1"/>
  <c r="F1026" i="1"/>
  <c r="C1026" i="1"/>
  <c r="F1025" i="1"/>
  <c r="C1025" i="1"/>
  <c r="F1024" i="1"/>
  <c r="C1024" i="1"/>
  <c r="F1023" i="1"/>
  <c r="C1023" i="1"/>
  <c r="F1022" i="1"/>
  <c r="C1022" i="1"/>
  <c r="F1021" i="1"/>
  <c r="C1021" i="1"/>
  <c r="F1020" i="1"/>
  <c r="C1020" i="1"/>
  <c r="F1019" i="1"/>
  <c r="C1019" i="1"/>
  <c r="F1018" i="1"/>
  <c r="C1018" i="1"/>
  <c r="F1017" i="1"/>
  <c r="C1017" i="1"/>
  <c r="F1016" i="1"/>
  <c r="C1016" i="1"/>
  <c r="F1015" i="1"/>
  <c r="C1015" i="1"/>
  <c r="F1014" i="1"/>
  <c r="C1014" i="1"/>
  <c r="F1013" i="1"/>
  <c r="C1013" i="1"/>
  <c r="F1012" i="1"/>
  <c r="C1012" i="1"/>
  <c r="F1011" i="1"/>
  <c r="C1011" i="1"/>
  <c r="F1010" i="1"/>
  <c r="C1010" i="1"/>
  <c r="F1009" i="1"/>
  <c r="C1009" i="1"/>
  <c r="F1008" i="1"/>
  <c r="C1008" i="1"/>
  <c r="F1007" i="1"/>
  <c r="C1007" i="1"/>
  <c r="F1006" i="1"/>
  <c r="C1006" i="1"/>
  <c r="F1005" i="1"/>
  <c r="C1005" i="1"/>
  <c r="F1004" i="1"/>
  <c r="C1004" i="1"/>
  <c r="F1003" i="1"/>
  <c r="C1003" i="1"/>
  <c r="F1002" i="1"/>
  <c r="C1002" i="1"/>
  <c r="F1001" i="1"/>
  <c r="C1001" i="1"/>
  <c r="F1000" i="1"/>
  <c r="C1000" i="1"/>
  <c r="F999" i="1"/>
  <c r="C999" i="1"/>
  <c r="F998" i="1"/>
  <c r="C998" i="1"/>
  <c r="F997" i="1"/>
  <c r="C997" i="1"/>
  <c r="F996" i="1"/>
  <c r="C996" i="1"/>
  <c r="F995" i="1"/>
  <c r="C995" i="1"/>
  <c r="F994" i="1"/>
  <c r="C994" i="1"/>
  <c r="F993" i="1"/>
  <c r="C993" i="1"/>
  <c r="F992" i="1"/>
  <c r="C992" i="1"/>
  <c r="F991" i="1"/>
  <c r="C991" i="1"/>
  <c r="F990" i="1"/>
  <c r="C990" i="1"/>
  <c r="F989" i="1"/>
  <c r="C989" i="1"/>
  <c r="F988" i="1"/>
  <c r="C988" i="1"/>
  <c r="F987" i="1"/>
  <c r="C987" i="1"/>
  <c r="F986" i="1"/>
  <c r="C986" i="1"/>
  <c r="F985" i="1"/>
  <c r="C985" i="1"/>
  <c r="F984" i="1"/>
  <c r="C984" i="1"/>
  <c r="F983" i="1"/>
  <c r="C983" i="1"/>
  <c r="F982" i="1"/>
  <c r="C982" i="1"/>
  <c r="F981" i="1"/>
  <c r="C981" i="1"/>
  <c r="F980" i="1"/>
  <c r="C980" i="1"/>
  <c r="F979" i="1"/>
  <c r="C979" i="1"/>
  <c r="F978" i="1"/>
  <c r="C978" i="1"/>
  <c r="F977" i="1"/>
  <c r="C977" i="1"/>
  <c r="F976" i="1"/>
  <c r="C976" i="1"/>
  <c r="F975" i="1"/>
  <c r="C975" i="1"/>
  <c r="F974" i="1"/>
  <c r="C974" i="1"/>
  <c r="F973" i="1"/>
  <c r="C973" i="1"/>
  <c r="F972" i="1"/>
  <c r="C972" i="1"/>
  <c r="F971" i="1"/>
  <c r="C971" i="1"/>
  <c r="F970" i="1"/>
  <c r="C970" i="1"/>
  <c r="F969" i="1"/>
  <c r="C969" i="1"/>
  <c r="F968" i="1"/>
  <c r="C968" i="1"/>
  <c r="F967" i="1"/>
  <c r="C967" i="1"/>
  <c r="F966" i="1"/>
  <c r="C966" i="1"/>
  <c r="F965" i="1"/>
  <c r="C965" i="1"/>
  <c r="F964" i="1"/>
  <c r="C964" i="1"/>
  <c r="F963" i="1"/>
  <c r="C963" i="1"/>
  <c r="F962" i="1"/>
  <c r="C962" i="1"/>
  <c r="F961" i="1"/>
  <c r="C961" i="1"/>
  <c r="F960" i="1"/>
  <c r="C960" i="1"/>
  <c r="F959" i="1"/>
  <c r="C959" i="1"/>
  <c r="F958" i="1"/>
  <c r="C958" i="1"/>
  <c r="F957" i="1"/>
  <c r="C957" i="1"/>
  <c r="F956" i="1"/>
  <c r="C956" i="1"/>
  <c r="F955" i="1"/>
  <c r="C955" i="1"/>
  <c r="F954" i="1"/>
  <c r="C954" i="1"/>
  <c r="F953" i="1"/>
  <c r="C953" i="1"/>
  <c r="F952" i="1"/>
  <c r="C952" i="1"/>
  <c r="F951" i="1"/>
  <c r="C951" i="1"/>
  <c r="F950" i="1"/>
  <c r="C950" i="1"/>
  <c r="F949" i="1"/>
  <c r="C949" i="1"/>
  <c r="F948" i="1"/>
  <c r="C948" i="1"/>
  <c r="F947" i="1"/>
  <c r="C947" i="1"/>
  <c r="F946" i="1"/>
  <c r="C946" i="1"/>
  <c r="F945" i="1"/>
  <c r="C945" i="1"/>
  <c r="F944" i="1"/>
  <c r="C944" i="1"/>
  <c r="F943" i="1"/>
  <c r="C943" i="1"/>
  <c r="F942" i="1"/>
  <c r="C942" i="1"/>
  <c r="F941" i="1"/>
  <c r="C941" i="1"/>
  <c r="F940" i="1"/>
  <c r="C940" i="1"/>
  <c r="F939" i="1"/>
  <c r="C939" i="1"/>
  <c r="F938" i="1"/>
  <c r="C938" i="1"/>
  <c r="F937" i="1"/>
  <c r="C937" i="1"/>
  <c r="F936" i="1"/>
  <c r="C936" i="1"/>
  <c r="F935" i="1"/>
  <c r="C935" i="1"/>
  <c r="F934" i="1"/>
  <c r="C934" i="1"/>
  <c r="F933" i="1"/>
  <c r="C933" i="1"/>
  <c r="F932" i="1"/>
  <c r="C932" i="1"/>
  <c r="F931" i="1"/>
  <c r="C931" i="1"/>
  <c r="F930" i="1"/>
  <c r="C930" i="1"/>
  <c r="F929" i="1"/>
  <c r="C929" i="1"/>
  <c r="F928" i="1"/>
  <c r="C928" i="1"/>
  <c r="F927" i="1"/>
  <c r="C927" i="1"/>
  <c r="F926" i="1"/>
  <c r="C926" i="1"/>
  <c r="F925" i="1"/>
  <c r="C925" i="1"/>
  <c r="F924" i="1"/>
  <c r="C924" i="1"/>
  <c r="F923" i="1"/>
  <c r="C923" i="1"/>
  <c r="F922" i="1"/>
  <c r="C922" i="1"/>
  <c r="F921" i="1"/>
  <c r="C921" i="1"/>
  <c r="F920" i="1"/>
  <c r="C920" i="1"/>
  <c r="F919" i="1"/>
  <c r="C919" i="1"/>
  <c r="F918" i="1"/>
  <c r="C918" i="1"/>
  <c r="F917" i="1"/>
  <c r="C917" i="1"/>
  <c r="F916" i="1"/>
  <c r="C916" i="1"/>
  <c r="F915" i="1"/>
  <c r="C915" i="1"/>
  <c r="F914" i="1"/>
  <c r="C914" i="1"/>
  <c r="F913" i="1"/>
  <c r="C913" i="1"/>
  <c r="F912" i="1"/>
  <c r="C912" i="1"/>
  <c r="F911" i="1"/>
  <c r="C911" i="1"/>
  <c r="F910" i="1"/>
  <c r="C910" i="1"/>
  <c r="F909" i="1"/>
  <c r="C909" i="1"/>
  <c r="F908" i="1"/>
  <c r="C908" i="1"/>
  <c r="F907" i="1"/>
  <c r="C907" i="1"/>
  <c r="F906" i="1"/>
  <c r="C906" i="1"/>
  <c r="F905" i="1"/>
  <c r="C905" i="1"/>
  <c r="F904" i="1"/>
  <c r="C904" i="1"/>
  <c r="F903" i="1"/>
  <c r="C903" i="1"/>
  <c r="F902" i="1"/>
  <c r="C902" i="1"/>
  <c r="F901" i="1"/>
  <c r="C901" i="1"/>
  <c r="F900" i="1"/>
  <c r="C900" i="1"/>
  <c r="F899" i="1"/>
  <c r="C899" i="1"/>
  <c r="F898" i="1"/>
  <c r="C898" i="1"/>
  <c r="F897" i="1"/>
  <c r="C897" i="1"/>
  <c r="F896" i="1"/>
  <c r="C896" i="1"/>
  <c r="F895" i="1"/>
  <c r="C895" i="1"/>
  <c r="F894" i="1"/>
  <c r="C894" i="1"/>
  <c r="F893" i="1"/>
  <c r="C893" i="1"/>
  <c r="F892" i="1"/>
  <c r="C892" i="1"/>
  <c r="F891" i="1"/>
  <c r="C891" i="1"/>
  <c r="F890" i="1"/>
  <c r="C890" i="1"/>
  <c r="F889" i="1"/>
  <c r="C889" i="1"/>
  <c r="F888" i="1"/>
  <c r="C888" i="1"/>
  <c r="F887" i="1"/>
  <c r="C887" i="1"/>
  <c r="F886" i="1"/>
  <c r="C886" i="1"/>
  <c r="F885" i="1"/>
  <c r="C885" i="1"/>
  <c r="F884" i="1"/>
  <c r="C884" i="1"/>
  <c r="F883" i="1"/>
  <c r="C883" i="1"/>
  <c r="F882" i="1"/>
  <c r="C882" i="1"/>
  <c r="F881" i="1"/>
  <c r="C881" i="1"/>
  <c r="F880" i="1"/>
  <c r="C880" i="1"/>
  <c r="F879" i="1"/>
  <c r="C879" i="1"/>
  <c r="F878" i="1"/>
  <c r="C878" i="1"/>
  <c r="F877" i="1"/>
  <c r="C877" i="1"/>
  <c r="F876" i="1"/>
  <c r="C876" i="1"/>
  <c r="F875" i="1"/>
  <c r="C875" i="1"/>
  <c r="F874" i="1"/>
  <c r="C874" i="1"/>
  <c r="F873" i="1"/>
  <c r="C873" i="1"/>
  <c r="F872" i="1"/>
  <c r="C872" i="1"/>
  <c r="F871" i="1"/>
  <c r="C871" i="1"/>
  <c r="F870" i="1"/>
  <c r="C870" i="1"/>
  <c r="F869" i="1"/>
  <c r="C869" i="1"/>
  <c r="F868" i="1"/>
  <c r="C868" i="1"/>
  <c r="F867" i="1"/>
  <c r="C867" i="1"/>
  <c r="F866" i="1"/>
  <c r="C866" i="1"/>
  <c r="F865" i="1"/>
  <c r="C865" i="1"/>
  <c r="F864" i="1"/>
  <c r="C864" i="1"/>
  <c r="F863" i="1"/>
  <c r="C863" i="1"/>
  <c r="F862" i="1"/>
  <c r="C862" i="1"/>
  <c r="F861" i="1"/>
  <c r="C861" i="1"/>
  <c r="F860" i="1"/>
  <c r="C860" i="1"/>
  <c r="F859" i="1"/>
  <c r="C859" i="1"/>
  <c r="F858" i="1"/>
  <c r="C858" i="1"/>
  <c r="F857" i="1"/>
  <c r="C857" i="1"/>
  <c r="F856" i="1"/>
  <c r="C856" i="1"/>
  <c r="F855" i="1"/>
  <c r="C855" i="1"/>
  <c r="F854" i="1"/>
  <c r="C854" i="1"/>
  <c r="F853" i="1"/>
  <c r="C853" i="1"/>
  <c r="F852" i="1"/>
  <c r="C852" i="1"/>
  <c r="F851" i="1"/>
  <c r="C851" i="1"/>
  <c r="F850" i="1"/>
  <c r="C850" i="1"/>
  <c r="F849" i="1"/>
  <c r="C849" i="1"/>
  <c r="F848" i="1"/>
  <c r="C848" i="1"/>
  <c r="F847" i="1"/>
  <c r="C847" i="1"/>
  <c r="F846" i="1"/>
  <c r="C846" i="1"/>
  <c r="F845" i="1"/>
  <c r="C845" i="1"/>
  <c r="F844" i="1"/>
  <c r="C844" i="1"/>
  <c r="F843" i="1"/>
  <c r="C843" i="1"/>
  <c r="F842" i="1"/>
  <c r="C842" i="1"/>
  <c r="F841" i="1"/>
  <c r="C841" i="1"/>
  <c r="F840" i="1"/>
  <c r="C840" i="1"/>
  <c r="F839" i="1"/>
  <c r="C839" i="1"/>
  <c r="F838" i="1"/>
  <c r="C838" i="1"/>
  <c r="F837" i="1"/>
  <c r="C837" i="1"/>
  <c r="F836" i="1"/>
  <c r="C836" i="1"/>
  <c r="F835" i="1"/>
  <c r="C835" i="1"/>
  <c r="F834" i="1"/>
  <c r="C834" i="1"/>
  <c r="F833" i="1"/>
  <c r="C833" i="1"/>
  <c r="F832" i="1"/>
  <c r="C832" i="1"/>
  <c r="F831" i="1"/>
  <c r="C831" i="1"/>
  <c r="F830" i="1"/>
  <c r="C830" i="1"/>
  <c r="F829" i="1"/>
  <c r="C829" i="1"/>
  <c r="F828" i="1"/>
  <c r="C828" i="1"/>
  <c r="F827" i="1"/>
  <c r="C827" i="1"/>
  <c r="F826" i="1"/>
  <c r="C826" i="1"/>
  <c r="F825" i="1"/>
  <c r="C825" i="1"/>
  <c r="F824" i="1"/>
  <c r="C824" i="1"/>
  <c r="F823" i="1"/>
  <c r="C823" i="1"/>
  <c r="F822" i="1"/>
  <c r="C822" i="1"/>
  <c r="F821" i="1"/>
  <c r="C821" i="1"/>
  <c r="F820" i="1"/>
  <c r="C820" i="1"/>
  <c r="F819" i="1"/>
  <c r="C819" i="1"/>
  <c r="F818" i="1"/>
  <c r="C818" i="1"/>
  <c r="F817" i="1"/>
  <c r="C817" i="1"/>
  <c r="F816" i="1"/>
  <c r="C816" i="1"/>
  <c r="F815" i="1"/>
  <c r="C815" i="1"/>
  <c r="F814" i="1"/>
  <c r="C814" i="1"/>
  <c r="F813" i="1"/>
  <c r="C813" i="1"/>
  <c r="F812" i="1"/>
  <c r="C812" i="1"/>
  <c r="F811" i="1"/>
  <c r="C811" i="1"/>
  <c r="F810" i="1"/>
  <c r="C810" i="1"/>
  <c r="F809" i="1"/>
  <c r="C809" i="1"/>
  <c r="F808" i="1"/>
  <c r="C808" i="1"/>
  <c r="F807" i="1"/>
  <c r="C807" i="1"/>
  <c r="F806" i="1"/>
  <c r="C806" i="1"/>
  <c r="F805" i="1"/>
  <c r="C805" i="1"/>
  <c r="F804" i="1"/>
  <c r="C804" i="1"/>
  <c r="F803" i="1"/>
  <c r="C803" i="1"/>
  <c r="F802" i="1"/>
  <c r="C802" i="1"/>
  <c r="F801" i="1"/>
  <c r="C801" i="1"/>
  <c r="F800" i="1"/>
  <c r="C800" i="1"/>
  <c r="F799" i="1"/>
  <c r="C799" i="1"/>
  <c r="F798" i="1"/>
  <c r="C798" i="1"/>
  <c r="F797" i="1"/>
  <c r="C797" i="1"/>
  <c r="F796" i="1"/>
  <c r="C796" i="1"/>
  <c r="F795" i="1"/>
  <c r="C795" i="1"/>
  <c r="F794" i="1"/>
  <c r="C794" i="1"/>
  <c r="F793" i="1"/>
  <c r="C793" i="1"/>
  <c r="F792" i="1"/>
  <c r="C792" i="1"/>
  <c r="F791" i="1"/>
  <c r="C791" i="1"/>
  <c r="F790" i="1"/>
  <c r="C790" i="1"/>
  <c r="F789" i="1"/>
  <c r="C789" i="1"/>
  <c r="F788" i="1"/>
  <c r="C788" i="1"/>
  <c r="F787" i="1"/>
  <c r="C787" i="1"/>
  <c r="F786" i="1"/>
  <c r="C786" i="1"/>
  <c r="F785" i="1"/>
  <c r="C785" i="1"/>
  <c r="F784" i="1"/>
  <c r="C784" i="1"/>
  <c r="F783" i="1"/>
  <c r="C783" i="1"/>
  <c r="F782" i="1"/>
  <c r="C782" i="1"/>
  <c r="F781" i="1"/>
  <c r="C781" i="1"/>
  <c r="F780" i="1"/>
  <c r="C780" i="1"/>
  <c r="F779" i="1"/>
  <c r="C779" i="1"/>
  <c r="F778" i="1"/>
  <c r="C778" i="1"/>
  <c r="F777" i="1"/>
  <c r="C777" i="1"/>
  <c r="F776" i="1"/>
  <c r="C776" i="1"/>
  <c r="F775" i="1"/>
  <c r="C775" i="1"/>
  <c r="F774" i="1"/>
  <c r="C774" i="1"/>
  <c r="F773" i="1"/>
  <c r="C773" i="1"/>
  <c r="F772" i="1"/>
  <c r="C772" i="1"/>
  <c r="F771" i="1"/>
  <c r="C771" i="1"/>
  <c r="F770" i="1"/>
  <c r="C770" i="1"/>
  <c r="F769" i="1"/>
  <c r="C769" i="1"/>
  <c r="F768" i="1"/>
  <c r="C768" i="1"/>
  <c r="F767" i="1"/>
  <c r="C767" i="1"/>
  <c r="F766" i="1"/>
  <c r="C766" i="1"/>
  <c r="F765" i="1"/>
  <c r="C765" i="1"/>
  <c r="F764" i="1"/>
  <c r="C764" i="1"/>
  <c r="F763" i="1"/>
  <c r="C763" i="1"/>
  <c r="F762" i="1"/>
  <c r="C762" i="1"/>
  <c r="F761" i="1"/>
  <c r="C761" i="1"/>
  <c r="F760" i="1"/>
  <c r="C760" i="1"/>
  <c r="F759" i="1"/>
  <c r="C759" i="1"/>
  <c r="F758" i="1"/>
  <c r="C758" i="1"/>
  <c r="F757" i="1"/>
  <c r="C757" i="1"/>
  <c r="F756" i="1"/>
  <c r="C756" i="1"/>
  <c r="F755" i="1"/>
  <c r="C755" i="1"/>
  <c r="F754" i="1"/>
  <c r="C754" i="1"/>
  <c r="F753" i="1"/>
  <c r="C753" i="1"/>
  <c r="F752" i="1"/>
  <c r="C752" i="1"/>
  <c r="F751" i="1"/>
  <c r="C751" i="1"/>
  <c r="F750" i="1"/>
  <c r="C750" i="1"/>
  <c r="F749" i="1"/>
  <c r="C749" i="1"/>
  <c r="F748" i="1"/>
  <c r="C748" i="1"/>
  <c r="F747" i="1"/>
  <c r="C747" i="1"/>
  <c r="F746" i="1"/>
  <c r="C746" i="1"/>
  <c r="F745" i="1"/>
  <c r="C745" i="1"/>
  <c r="F744" i="1"/>
  <c r="C744" i="1"/>
  <c r="F743" i="1"/>
  <c r="C743" i="1"/>
  <c r="F742" i="1"/>
  <c r="C742" i="1"/>
  <c r="F741" i="1"/>
  <c r="C741" i="1"/>
  <c r="F740" i="1"/>
  <c r="C740" i="1"/>
  <c r="F739" i="1"/>
  <c r="C739" i="1"/>
  <c r="F738" i="1"/>
  <c r="C738" i="1"/>
  <c r="F737" i="1"/>
  <c r="C737" i="1"/>
  <c r="F736" i="1"/>
  <c r="C736" i="1"/>
  <c r="F735" i="1"/>
  <c r="C735" i="1"/>
  <c r="F734" i="1"/>
  <c r="C734" i="1"/>
  <c r="F733" i="1"/>
  <c r="C733" i="1"/>
  <c r="F732" i="1"/>
  <c r="C732" i="1"/>
  <c r="F731" i="1"/>
  <c r="C731" i="1"/>
  <c r="F730" i="1"/>
  <c r="C730" i="1"/>
  <c r="F729" i="1"/>
  <c r="C729" i="1"/>
  <c r="F728" i="1"/>
  <c r="C728" i="1"/>
  <c r="F727" i="1"/>
  <c r="C727" i="1"/>
  <c r="F726" i="1"/>
  <c r="C726" i="1"/>
  <c r="F725" i="1"/>
  <c r="C725" i="1"/>
  <c r="F724" i="1"/>
  <c r="C724" i="1"/>
  <c r="F723" i="1"/>
  <c r="C723" i="1"/>
  <c r="F722" i="1"/>
  <c r="C722" i="1"/>
  <c r="F721" i="1"/>
  <c r="C721" i="1"/>
  <c r="F720" i="1"/>
  <c r="C720" i="1"/>
  <c r="F719" i="1"/>
  <c r="C719" i="1"/>
  <c r="F718" i="1"/>
  <c r="C718" i="1"/>
  <c r="F717" i="1"/>
  <c r="C717" i="1"/>
  <c r="F716" i="1"/>
  <c r="C716" i="1"/>
  <c r="F715" i="1"/>
  <c r="C715" i="1"/>
  <c r="F714" i="1"/>
  <c r="C714" i="1"/>
  <c r="F713" i="1"/>
  <c r="C713" i="1"/>
  <c r="F712" i="1"/>
  <c r="C712" i="1"/>
  <c r="F711" i="1"/>
  <c r="C711" i="1"/>
  <c r="F710" i="1"/>
  <c r="C710" i="1"/>
  <c r="F709" i="1"/>
  <c r="C709" i="1"/>
  <c r="F708" i="1"/>
  <c r="C708" i="1"/>
  <c r="F707" i="1"/>
  <c r="C707" i="1"/>
  <c r="F706" i="1"/>
  <c r="C706" i="1"/>
  <c r="F705" i="1"/>
  <c r="C705" i="1"/>
  <c r="F704" i="1"/>
  <c r="C704" i="1"/>
  <c r="F703" i="1"/>
  <c r="C703" i="1"/>
  <c r="F702" i="1"/>
  <c r="C702" i="1"/>
  <c r="F701" i="1"/>
  <c r="C701" i="1"/>
  <c r="F700" i="1"/>
  <c r="C700" i="1"/>
  <c r="F699" i="1"/>
  <c r="C699" i="1"/>
  <c r="F698" i="1"/>
  <c r="C698" i="1"/>
  <c r="F697" i="1"/>
  <c r="C697" i="1"/>
  <c r="F696" i="1"/>
  <c r="C696" i="1"/>
  <c r="F695" i="1"/>
  <c r="C695" i="1"/>
  <c r="F694" i="1"/>
  <c r="C694" i="1"/>
  <c r="F693" i="1"/>
  <c r="C693" i="1"/>
  <c r="F692" i="1"/>
  <c r="C692" i="1"/>
  <c r="F691" i="1"/>
  <c r="C691" i="1"/>
  <c r="F690" i="1"/>
  <c r="C690" i="1"/>
  <c r="F689" i="1"/>
  <c r="C689" i="1"/>
  <c r="F688" i="1"/>
  <c r="C688" i="1"/>
  <c r="F687" i="1"/>
  <c r="C687" i="1"/>
  <c r="F686" i="1"/>
  <c r="C686" i="1"/>
  <c r="F685" i="1"/>
  <c r="C685" i="1"/>
  <c r="F684" i="1"/>
  <c r="C684" i="1"/>
  <c r="F683" i="1"/>
  <c r="C683" i="1"/>
  <c r="F682" i="1"/>
  <c r="C682" i="1"/>
  <c r="F681" i="1"/>
  <c r="C681" i="1"/>
  <c r="F680" i="1"/>
  <c r="C680" i="1"/>
  <c r="F679" i="1"/>
  <c r="C679" i="1"/>
  <c r="F678" i="1"/>
  <c r="C678" i="1"/>
  <c r="F677" i="1"/>
  <c r="C677" i="1"/>
  <c r="F676" i="1"/>
  <c r="C676" i="1"/>
  <c r="F675" i="1"/>
  <c r="C675" i="1"/>
  <c r="F674" i="1"/>
  <c r="C674" i="1"/>
  <c r="F673" i="1"/>
  <c r="C673" i="1"/>
  <c r="F672" i="1"/>
  <c r="C672" i="1"/>
  <c r="F671" i="1"/>
  <c r="C671" i="1"/>
  <c r="F670" i="1"/>
  <c r="C670" i="1"/>
  <c r="F669" i="1"/>
  <c r="C669" i="1"/>
  <c r="F668" i="1"/>
  <c r="C668" i="1"/>
  <c r="F667" i="1"/>
  <c r="C667" i="1"/>
  <c r="F666" i="1"/>
  <c r="C666" i="1"/>
  <c r="F665" i="1"/>
  <c r="C665" i="1"/>
  <c r="F664" i="1"/>
  <c r="C664" i="1"/>
  <c r="F663" i="1"/>
  <c r="C663" i="1"/>
  <c r="F662" i="1"/>
  <c r="C662" i="1"/>
  <c r="F661" i="1"/>
  <c r="C661" i="1"/>
  <c r="F660" i="1"/>
  <c r="C660" i="1"/>
  <c r="F659" i="1"/>
  <c r="C659" i="1"/>
  <c r="F658" i="1"/>
  <c r="C658" i="1"/>
  <c r="F657" i="1"/>
  <c r="C657" i="1"/>
  <c r="F656" i="1"/>
  <c r="C656" i="1"/>
  <c r="F655" i="1"/>
  <c r="C655" i="1"/>
  <c r="F654" i="1"/>
  <c r="C654" i="1"/>
  <c r="F653" i="1"/>
  <c r="C653" i="1"/>
  <c r="F652" i="1"/>
  <c r="C652" i="1"/>
  <c r="F651" i="1"/>
  <c r="C651" i="1"/>
  <c r="F650" i="1"/>
  <c r="C650" i="1"/>
  <c r="F649" i="1"/>
  <c r="C649" i="1"/>
  <c r="F648" i="1"/>
  <c r="C648" i="1"/>
  <c r="F647" i="1"/>
  <c r="C647" i="1"/>
  <c r="F646" i="1"/>
  <c r="C646" i="1"/>
  <c r="F645" i="1"/>
  <c r="C645" i="1"/>
  <c r="F644" i="1"/>
  <c r="C644" i="1"/>
  <c r="F643" i="1"/>
  <c r="C643" i="1"/>
  <c r="F642" i="1"/>
  <c r="C642" i="1"/>
  <c r="F641" i="1"/>
  <c r="C641" i="1"/>
  <c r="F640" i="1"/>
  <c r="C640" i="1"/>
  <c r="F639" i="1"/>
  <c r="C639" i="1"/>
  <c r="F638" i="1"/>
  <c r="C638" i="1"/>
  <c r="F637" i="1"/>
  <c r="C637" i="1"/>
  <c r="F636" i="1"/>
  <c r="C636" i="1"/>
  <c r="F635" i="1"/>
  <c r="C635" i="1"/>
  <c r="F634" i="1"/>
  <c r="C634" i="1"/>
  <c r="F633" i="1"/>
  <c r="C633" i="1"/>
  <c r="F632" i="1"/>
  <c r="C632" i="1"/>
  <c r="F631" i="1"/>
  <c r="C631" i="1"/>
  <c r="F630" i="1"/>
  <c r="C630" i="1"/>
  <c r="F629" i="1"/>
  <c r="C629" i="1"/>
  <c r="F628" i="1"/>
  <c r="C628" i="1"/>
  <c r="F627" i="1"/>
  <c r="C627" i="1"/>
  <c r="F626" i="1"/>
  <c r="C626" i="1"/>
  <c r="F625" i="1"/>
  <c r="C625" i="1"/>
  <c r="F624" i="1"/>
  <c r="C624" i="1"/>
  <c r="F623" i="1"/>
  <c r="C623" i="1"/>
  <c r="F622" i="1"/>
  <c r="C622" i="1"/>
  <c r="F621" i="1"/>
  <c r="C621" i="1"/>
  <c r="F620" i="1"/>
  <c r="C620" i="1"/>
  <c r="F619" i="1"/>
  <c r="C619" i="1"/>
  <c r="F618" i="1"/>
  <c r="C618" i="1"/>
  <c r="F617" i="1"/>
  <c r="C617" i="1"/>
  <c r="F616" i="1"/>
  <c r="C616" i="1"/>
  <c r="F615" i="1"/>
  <c r="C615" i="1"/>
  <c r="F614" i="1"/>
  <c r="C614" i="1"/>
  <c r="F613" i="1"/>
  <c r="C613" i="1"/>
  <c r="F612" i="1"/>
  <c r="C612" i="1"/>
  <c r="F611" i="1"/>
  <c r="C611" i="1"/>
  <c r="F610" i="1"/>
  <c r="C610" i="1"/>
  <c r="F609" i="1"/>
  <c r="C609" i="1"/>
  <c r="F608" i="1"/>
  <c r="C608" i="1"/>
  <c r="F607" i="1"/>
  <c r="C607" i="1"/>
  <c r="F606" i="1"/>
  <c r="C606" i="1"/>
  <c r="F605" i="1"/>
  <c r="C605" i="1"/>
  <c r="F604" i="1"/>
  <c r="C604" i="1"/>
  <c r="F603" i="1"/>
  <c r="C603" i="1"/>
  <c r="F602" i="1"/>
  <c r="C602" i="1"/>
  <c r="F601" i="1"/>
  <c r="C601" i="1"/>
  <c r="F600" i="1"/>
  <c r="C600" i="1"/>
  <c r="F599" i="1"/>
  <c r="C599" i="1"/>
  <c r="F598" i="1"/>
  <c r="C598" i="1"/>
  <c r="F597" i="1"/>
  <c r="C597" i="1"/>
  <c r="F596" i="1"/>
  <c r="C596" i="1"/>
  <c r="F595" i="1"/>
  <c r="C595" i="1"/>
  <c r="F594" i="1"/>
  <c r="C594" i="1"/>
  <c r="F593" i="1"/>
  <c r="C593" i="1"/>
  <c r="F592" i="1"/>
  <c r="C592" i="1"/>
  <c r="F591" i="1"/>
  <c r="C591" i="1"/>
  <c r="F590" i="1"/>
  <c r="C590" i="1"/>
  <c r="F589" i="1"/>
  <c r="C589" i="1"/>
  <c r="F588" i="1"/>
  <c r="C588" i="1"/>
  <c r="F587" i="1"/>
  <c r="C587" i="1"/>
  <c r="F586" i="1"/>
  <c r="C586" i="1"/>
  <c r="F585" i="1"/>
  <c r="C585" i="1"/>
  <c r="F584" i="1"/>
  <c r="C584" i="1"/>
  <c r="F583" i="1"/>
  <c r="C583" i="1"/>
  <c r="F582" i="1"/>
  <c r="C582" i="1"/>
  <c r="F581" i="1"/>
  <c r="C581" i="1"/>
  <c r="F580" i="1"/>
  <c r="C580" i="1"/>
  <c r="F579" i="1"/>
  <c r="C579" i="1"/>
  <c r="F578" i="1"/>
  <c r="C578" i="1"/>
  <c r="F577" i="1"/>
  <c r="C577" i="1"/>
  <c r="F576" i="1"/>
  <c r="C576" i="1"/>
  <c r="F575" i="1"/>
  <c r="C575" i="1"/>
  <c r="F574" i="1"/>
  <c r="C574" i="1"/>
  <c r="F573" i="1"/>
  <c r="C573" i="1"/>
  <c r="F572" i="1"/>
  <c r="C572" i="1"/>
  <c r="F571" i="1"/>
  <c r="C571" i="1"/>
  <c r="F570" i="1"/>
  <c r="C570" i="1"/>
  <c r="F569" i="1"/>
  <c r="C569" i="1"/>
  <c r="F568" i="1"/>
  <c r="C568" i="1"/>
  <c r="F567" i="1"/>
  <c r="C567" i="1"/>
  <c r="F566" i="1"/>
  <c r="C566" i="1"/>
  <c r="F565" i="1"/>
  <c r="C565" i="1"/>
  <c r="F564" i="1"/>
  <c r="C564" i="1"/>
  <c r="F563" i="1"/>
  <c r="C563" i="1"/>
  <c r="F562" i="1"/>
  <c r="C562" i="1"/>
  <c r="F561" i="1"/>
  <c r="C561" i="1"/>
  <c r="F560" i="1"/>
  <c r="C560" i="1"/>
  <c r="F559" i="1"/>
  <c r="C559" i="1"/>
  <c r="F558" i="1"/>
  <c r="C558" i="1"/>
  <c r="F557" i="1"/>
  <c r="C557" i="1"/>
  <c r="F556" i="1"/>
  <c r="C556" i="1"/>
  <c r="F555" i="1"/>
  <c r="C555" i="1"/>
  <c r="F554" i="1"/>
  <c r="C554" i="1"/>
  <c r="F553" i="1"/>
  <c r="C553" i="1"/>
  <c r="F552" i="1"/>
  <c r="C552" i="1"/>
  <c r="F551" i="1"/>
  <c r="C551" i="1"/>
  <c r="F550" i="1"/>
  <c r="C550" i="1"/>
  <c r="F549" i="1"/>
  <c r="C549" i="1"/>
  <c r="F548" i="1"/>
  <c r="C548" i="1"/>
  <c r="F547" i="1"/>
  <c r="C547" i="1"/>
  <c r="F546" i="1"/>
  <c r="C546" i="1"/>
  <c r="F545" i="1"/>
  <c r="C545" i="1"/>
  <c r="F544" i="1"/>
  <c r="C544" i="1"/>
  <c r="F543" i="1"/>
  <c r="C543" i="1"/>
  <c r="F542" i="1"/>
  <c r="C542" i="1"/>
  <c r="F541" i="1"/>
  <c r="C541" i="1"/>
  <c r="F540" i="1"/>
  <c r="C540" i="1"/>
  <c r="F539" i="1"/>
  <c r="C539" i="1"/>
  <c r="F538" i="1"/>
  <c r="C538" i="1"/>
  <c r="F537" i="1"/>
  <c r="C537" i="1"/>
  <c r="F536" i="1"/>
  <c r="C536" i="1"/>
  <c r="F535" i="1"/>
  <c r="C535" i="1"/>
  <c r="F534" i="1"/>
  <c r="C534" i="1"/>
  <c r="F533" i="1"/>
  <c r="C533" i="1"/>
  <c r="F532" i="1"/>
  <c r="C532" i="1"/>
  <c r="F531" i="1"/>
  <c r="C531" i="1"/>
  <c r="F530" i="1"/>
  <c r="C530" i="1"/>
  <c r="F529" i="1"/>
  <c r="C529" i="1"/>
  <c r="F528" i="1"/>
  <c r="C528" i="1"/>
  <c r="F527" i="1"/>
  <c r="C527" i="1"/>
  <c r="F526" i="1"/>
  <c r="C526" i="1"/>
  <c r="F525" i="1"/>
  <c r="C525" i="1"/>
  <c r="F524" i="1"/>
  <c r="C524" i="1"/>
  <c r="F523" i="1"/>
  <c r="C523" i="1"/>
  <c r="F522" i="1"/>
  <c r="C522" i="1"/>
  <c r="F521" i="1"/>
  <c r="C521" i="1"/>
  <c r="F520" i="1"/>
  <c r="C520" i="1"/>
  <c r="F519" i="1"/>
  <c r="C519" i="1"/>
  <c r="F518" i="1"/>
  <c r="C518" i="1"/>
  <c r="F517" i="1"/>
  <c r="C517" i="1"/>
  <c r="F516" i="1"/>
  <c r="C516" i="1"/>
  <c r="F515" i="1"/>
  <c r="C515" i="1"/>
  <c r="F514" i="1"/>
  <c r="C514" i="1"/>
  <c r="F513" i="1"/>
  <c r="C513" i="1"/>
  <c r="F512" i="1"/>
  <c r="C512" i="1"/>
  <c r="F511" i="1"/>
  <c r="C511" i="1"/>
  <c r="F510" i="1"/>
  <c r="C510" i="1"/>
  <c r="F509" i="1"/>
  <c r="C509" i="1"/>
  <c r="F508" i="1"/>
  <c r="C508" i="1"/>
  <c r="F507" i="1"/>
  <c r="C507" i="1"/>
  <c r="F506" i="1"/>
  <c r="C506" i="1"/>
  <c r="F505" i="1"/>
  <c r="C505" i="1"/>
  <c r="F504" i="1"/>
  <c r="C504" i="1"/>
  <c r="F503" i="1"/>
  <c r="C503" i="1"/>
  <c r="F502" i="1"/>
  <c r="C502" i="1"/>
  <c r="F501" i="1"/>
  <c r="C501" i="1"/>
  <c r="F500" i="1"/>
  <c r="C500" i="1"/>
  <c r="F499" i="1"/>
  <c r="C499" i="1"/>
  <c r="F498" i="1"/>
  <c r="C498" i="1"/>
  <c r="F497" i="1"/>
  <c r="C497" i="1"/>
  <c r="F496" i="1"/>
  <c r="C496" i="1"/>
  <c r="F495" i="1"/>
  <c r="C495" i="1"/>
  <c r="F494" i="1"/>
  <c r="C494" i="1"/>
  <c r="F493" i="1"/>
  <c r="C493" i="1"/>
  <c r="F492" i="1"/>
  <c r="C492" i="1"/>
  <c r="F491" i="1"/>
  <c r="C491" i="1"/>
  <c r="F490" i="1"/>
  <c r="C490" i="1"/>
  <c r="F489" i="1"/>
  <c r="C489" i="1"/>
  <c r="F488" i="1"/>
  <c r="C488" i="1"/>
  <c r="F487" i="1"/>
  <c r="C487" i="1"/>
  <c r="F486" i="1"/>
  <c r="C486" i="1"/>
  <c r="F485" i="1"/>
  <c r="C485" i="1"/>
  <c r="F484" i="1"/>
  <c r="C484" i="1"/>
  <c r="F483" i="1"/>
  <c r="C483" i="1"/>
  <c r="F482" i="1"/>
  <c r="C482" i="1"/>
  <c r="F481" i="1"/>
  <c r="C481" i="1"/>
  <c r="F480" i="1"/>
  <c r="C480" i="1"/>
  <c r="F479" i="1"/>
  <c r="C479" i="1"/>
  <c r="F478" i="1"/>
  <c r="C478" i="1"/>
  <c r="F477" i="1"/>
  <c r="C477" i="1"/>
  <c r="F476" i="1"/>
  <c r="C476" i="1"/>
  <c r="F475" i="1"/>
  <c r="C475" i="1"/>
  <c r="F474" i="1"/>
  <c r="C474" i="1"/>
  <c r="F473" i="1"/>
  <c r="C473" i="1"/>
  <c r="F472" i="1"/>
  <c r="C472" i="1"/>
  <c r="F471" i="1"/>
  <c r="C471" i="1"/>
  <c r="F470" i="1"/>
  <c r="C470" i="1"/>
  <c r="F469" i="1"/>
  <c r="C469" i="1"/>
  <c r="F468" i="1"/>
  <c r="C468" i="1"/>
  <c r="F467" i="1"/>
  <c r="C467" i="1"/>
  <c r="F466" i="1"/>
  <c r="C466" i="1"/>
  <c r="F465" i="1"/>
  <c r="C465" i="1"/>
  <c r="F464" i="1"/>
  <c r="C464" i="1"/>
  <c r="F463" i="1"/>
  <c r="C463" i="1"/>
  <c r="F462" i="1"/>
  <c r="C462" i="1"/>
  <c r="F461" i="1"/>
  <c r="C461" i="1"/>
  <c r="F460" i="1"/>
  <c r="C460" i="1"/>
  <c r="F459" i="1"/>
  <c r="C459" i="1"/>
  <c r="F458" i="1"/>
  <c r="C458" i="1"/>
  <c r="F457" i="1"/>
  <c r="C457" i="1"/>
  <c r="F456" i="1"/>
  <c r="C456" i="1"/>
  <c r="F455" i="1"/>
  <c r="C455" i="1"/>
  <c r="F454" i="1"/>
  <c r="C454" i="1"/>
  <c r="F453" i="1"/>
  <c r="C453" i="1"/>
  <c r="F452" i="1"/>
  <c r="C452" i="1"/>
  <c r="F451" i="1"/>
  <c r="C451" i="1"/>
  <c r="F450" i="1"/>
  <c r="C450" i="1"/>
  <c r="F449" i="1"/>
  <c r="C449" i="1"/>
  <c r="F448" i="1"/>
  <c r="C448" i="1"/>
  <c r="F447" i="1"/>
  <c r="C447" i="1"/>
  <c r="F446" i="1"/>
  <c r="C446" i="1"/>
  <c r="F445" i="1"/>
  <c r="C445" i="1"/>
  <c r="F444" i="1"/>
  <c r="C444" i="1"/>
  <c r="F443" i="1"/>
  <c r="C443" i="1"/>
  <c r="F442" i="1"/>
  <c r="C442" i="1"/>
  <c r="F441" i="1"/>
  <c r="C441" i="1"/>
  <c r="F440" i="1"/>
  <c r="C440" i="1"/>
  <c r="F439" i="1"/>
  <c r="C439" i="1"/>
  <c r="F438" i="1"/>
  <c r="C438" i="1"/>
  <c r="F437" i="1"/>
  <c r="C437" i="1"/>
  <c r="F436" i="1"/>
  <c r="C436" i="1"/>
  <c r="F435" i="1"/>
  <c r="C435" i="1"/>
  <c r="F434" i="1"/>
  <c r="C434" i="1"/>
  <c r="F433" i="1"/>
  <c r="C433" i="1"/>
  <c r="F432" i="1"/>
  <c r="C432" i="1"/>
  <c r="F431" i="1"/>
  <c r="C431" i="1"/>
  <c r="F430" i="1"/>
  <c r="C430" i="1"/>
  <c r="F429" i="1"/>
  <c r="C429" i="1"/>
  <c r="F428" i="1"/>
  <c r="C428" i="1"/>
  <c r="F427" i="1"/>
  <c r="C427" i="1"/>
  <c r="F426" i="1"/>
  <c r="C426" i="1"/>
  <c r="F425" i="1"/>
  <c r="C425" i="1"/>
  <c r="F424" i="1"/>
  <c r="C424" i="1"/>
  <c r="F423" i="1"/>
  <c r="C423" i="1"/>
  <c r="F422" i="1"/>
  <c r="C422" i="1"/>
  <c r="F421" i="1"/>
  <c r="C421" i="1"/>
  <c r="F420" i="1"/>
  <c r="C420" i="1"/>
  <c r="F419" i="1"/>
  <c r="C419" i="1"/>
  <c r="F418" i="1"/>
  <c r="C418" i="1"/>
  <c r="F417" i="1"/>
  <c r="C417" i="1"/>
  <c r="F416" i="1"/>
  <c r="C416" i="1"/>
  <c r="F415" i="1"/>
  <c r="C415" i="1"/>
  <c r="F414" i="1"/>
  <c r="C414" i="1"/>
  <c r="F413" i="1"/>
  <c r="C413" i="1"/>
  <c r="F412" i="1"/>
  <c r="C412" i="1"/>
  <c r="F411" i="1"/>
  <c r="C411" i="1"/>
  <c r="F410" i="1"/>
  <c r="C410" i="1"/>
  <c r="F409" i="1"/>
  <c r="C409" i="1"/>
  <c r="F408" i="1"/>
  <c r="C408" i="1"/>
  <c r="F407" i="1"/>
  <c r="C407" i="1"/>
  <c r="F406" i="1"/>
  <c r="C406" i="1"/>
  <c r="F405" i="1"/>
  <c r="C405" i="1"/>
  <c r="F404" i="1"/>
  <c r="C404" i="1"/>
  <c r="F403" i="1"/>
  <c r="C403" i="1"/>
  <c r="F402" i="1"/>
  <c r="C402" i="1"/>
  <c r="F401" i="1"/>
  <c r="C401" i="1"/>
  <c r="F400" i="1"/>
  <c r="C400" i="1"/>
  <c r="F399" i="1"/>
  <c r="C399" i="1"/>
  <c r="F398" i="1"/>
  <c r="C398" i="1"/>
  <c r="F397" i="1"/>
  <c r="C397" i="1"/>
  <c r="F396" i="1"/>
  <c r="C396" i="1"/>
  <c r="F395" i="1"/>
  <c r="C395" i="1"/>
  <c r="F394" i="1"/>
  <c r="C394" i="1"/>
  <c r="F393" i="1"/>
  <c r="C393" i="1"/>
  <c r="F392" i="1"/>
  <c r="C392" i="1"/>
  <c r="F391" i="1"/>
  <c r="C391" i="1"/>
  <c r="F390" i="1"/>
  <c r="C390" i="1"/>
  <c r="F389" i="1"/>
  <c r="C389" i="1"/>
  <c r="F388" i="1"/>
  <c r="C388" i="1"/>
  <c r="F387" i="1"/>
  <c r="C387" i="1"/>
  <c r="F386" i="1"/>
  <c r="C386" i="1"/>
  <c r="F385" i="1"/>
  <c r="C385" i="1"/>
  <c r="F384" i="1"/>
  <c r="C384" i="1"/>
  <c r="F383" i="1"/>
  <c r="C383" i="1"/>
  <c r="F382" i="1"/>
  <c r="C382" i="1"/>
  <c r="F381" i="1"/>
  <c r="C381" i="1"/>
  <c r="F380" i="1"/>
  <c r="C380" i="1"/>
  <c r="F379" i="1"/>
  <c r="C379" i="1"/>
  <c r="F378" i="1"/>
  <c r="C378" i="1"/>
  <c r="F377" i="1"/>
  <c r="C377" i="1"/>
  <c r="F376" i="1"/>
  <c r="C376" i="1"/>
  <c r="F375" i="1"/>
  <c r="C375" i="1"/>
  <c r="F374" i="1"/>
  <c r="C374" i="1"/>
  <c r="F373" i="1"/>
  <c r="C373" i="1"/>
  <c r="F372" i="1"/>
  <c r="C372" i="1"/>
  <c r="F371" i="1"/>
  <c r="C371" i="1"/>
  <c r="F370" i="1"/>
  <c r="C370" i="1"/>
  <c r="F369" i="1"/>
  <c r="C369" i="1"/>
  <c r="F368" i="1"/>
  <c r="C368" i="1"/>
  <c r="F367" i="1"/>
  <c r="C367" i="1"/>
  <c r="F366" i="1"/>
  <c r="C366" i="1"/>
  <c r="F365" i="1"/>
  <c r="C365" i="1"/>
  <c r="F364" i="1"/>
  <c r="C364" i="1"/>
  <c r="F363" i="1"/>
  <c r="C363" i="1"/>
  <c r="F362" i="1"/>
  <c r="C362" i="1"/>
  <c r="F361" i="1"/>
  <c r="C361" i="1"/>
  <c r="F360" i="1"/>
  <c r="C360" i="1"/>
  <c r="F359" i="1"/>
  <c r="C359" i="1"/>
  <c r="F358" i="1"/>
  <c r="C358" i="1"/>
  <c r="F357" i="1"/>
  <c r="C357" i="1"/>
  <c r="F356" i="1"/>
  <c r="C356" i="1"/>
  <c r="F355" i="1"/>
  <c r="C355" i="1"/>
  <c r="F354" i="1"/>
  <c r="C354" i="1"/>
  <c r="F353" i="1"/>
  <c r="C353" i="1"/>
  <c r="F352" i="1"/>
  <c r="C352" i="1"/>
  <c r="F351" i="1"/>
  <c r="C351" i="1"/>
  <c r="F350" i="1"/>
  <c r="C350" i="1"/>
  <c r="F349" i="1"/>
  <c r="C349" i="1"/>
  <c r="F348" i="1"/>
  <c r="C348" i="1"/>
  <c r="F347" i="1"/>
  <c r="C347" i="1"/>
  <c r="F346" i="1"/>
  <c r="C346" i="1"/>
  <c r="F345" i="1"/>
  <c r="C345" i="1"/>
  <c r="F344" i="1"/>
  <c r="C344" i="1"/>
  <c r="F343" i="1"/>
  <c r="C343" i="1"/>
  <c r="F342" i="1"/>
  <c r="C342" i="1"/>
  <c r="F341" i="1"/>
  <c r="C341" i="1"/>
  <c r="F340" i="1"/>
  <c r="C340" i="1"/>
  <c r="F339" i="1"/>
  <c r="C339" i="1"/>
  <c r="F338" i="1"/>
  <c r="C338" i="1"/>
  <c r="F337" i="1"/>
  <c r="C337" i="1"/>
  <c r="F336" i="1"/>
  <c r="C336" i="1"/>
  <c r="F335" i="1"/>
  <c r="C335" i="1"/>
  <c r="F334" i="1"/>
  <c r="C334" i="1"/>
  <c r="F333" i="1"/>
  <c r="C333" i="1"/>
  <c r="F332" i="1"/>
  <c r="C332" i="1"/>
  <c r="F331" i="1"/>
  <c r="C331" i="1"/>
  <c r="F330" i="1"/>
  <c r="C330" i="1"/>
  <c r="F329" i="1"/>
  <c r="C329" i="1"/>
  <c r="F328" i="1"/>
  <c r="C328" i="1"/>
  <c r="F327" i="1"/>
  <c r="C327" i="1"/>
  <c r="F326" i="1"/>
  <c r="C326" i="1"/>
  <c r="F325" i="1"/>
  <c r="C325" i="1"/>
  <c r="F324" i="1"/>
  <c r="C324" i="1"/>
  <c r="F323" i="1"/>
  <c r="C323" i="1"/>
  <c r="F322" i="1"/>
  <c r="C322" i="1"/>
  <c r="F321" i="1"/>
  <c r="C321" i="1"/>
  <c r="F320" i="1"/>
  <c r="C320" i="1"/>
  <c r="F319" i="1"/>
  <c r="C319" i="1"/>
  <c r="F318" i="1"/>
  <c r="C318" i="1"/>
  <c r="F317" i="1"/>
  <c r="C317" i="1"/>
  <c r="F316" i="1"/>
  <c r="C316" i="1"/>
  <c r="F315" i="1"/>
  <c r="C315" i="1"/>
  <c r="F314" i="1"/>
  <c r="C314" i="1"/>
  <c r="F313" i="1"/>
  <c r="C313" i="1"/>
  <c r="F312" i="1"/>
  <c r="C312" i="1"/>
  <c r="F311" i="1"/>
  <c r="C311" i="1"/>
  <c r="F310" i="1"/>
  <c r="C310" i="1"/>
  <c r="F309" i="1"/>
  <c r="C309" i="1"/>
  <c r="F308" i="1"/>
  <c r="C308" i="1"/>
  <c r="F307" i="1"/>
  <c r="C307" i="1"/>
  <c r="F306" i="1"/>
  <c r="C306" i="1"/>
  <c r="F305" i="1"/>
  <c r="C305" i="1"/>
  <c r="F304" i="1"/>
  <c r="C304" i="1"/>
  <c r="F303" i="1"/>
  <c r="C303" i="1"/>
  <c r="F302" i="1"/>
  <c r="C302" i="1"/>
  <c r="F301" i="1"/>
  <c r="C301" i="1"/>
  <c r="F300" i="1"/>
  <c r="C300" i="1"/>
  <c r="F299" i="1"/>
  <c r="C299" i="1"/>
  <c r="F298" i="1"/>
  <c r="C298" i="1"/>
  <c r="F297" i="1"/>
  <c r="C297" i="1"/>
  <c r="F296" i="1"/>
  <c r="C296" i="1"/>
  <c r="F295" i="1"/>
  <c r="C295" i="1"/>
  <c r="F294" i="1"/>
  <c r="C294" i="1"/>
  <c r="F293" i="1"/>
  <c r="C293" i="1"/>
  <c r="F292" i="1"/>
  <c r="C292" i="1"/>
  <c r="F291" i="1"/>
  <c r="C291" i="1"/>
  <c r="F290" i="1"/>
  <c r="C290" i="1"/>
  <c r="F289" i="1"/>
  <c r="C289" i="1"/>
  <c r="F288" i="1"/>
  <c r="C288" i="1"/>
  <c r="F287" i="1"/>
  <c r="C287" i="1"/>
  <c r="F286" i="1"/>
  <c r="C286" i="1"/>
  <c r="F285" i="1"/>
  <c r="C285" i="1"/>
  <c r="F284" i="1"/>
  <c r="C284" i="1"/>
  <c r="F283" i="1"/>
  <c r="C283" i="1"/>
  <c r="F282" i="1"/>
  <c r="C282" i="1"/>
  <c r="F281" i="1"/>
  <c r="C281" i="1"/>
  <c r="F280" i="1"/>
  <c r="C280" i="1"/>
  <c r="F279" i="1"/>
  <c r="C279" i="1"/>
  <c r="F278" i="1"/>
  <c r="C278" i="1"/>
  <c r="F277" i="1"/>
  <c r="C277" i="1"/>
  <c r="F276" i="1"/>
  <c r="C276" i="1"/>
  <c r="F275" i="1"/>
  <c r="C275" i="1"/>
  <c r="F274" i="1"/>
  <c r="C274" i="1"/>
  <c r="F273" i="1"/>
  <c r="C273" i="1"/>
  <c r="F272" i="1"/>
  <c r="C272" i="1"/>
  <c r="F271" i="1"/>
  <c r="C271" i="1"/>
  <c r="F270" i="1"/>
  <c r="C270" i="1"/>
  <c r="F269" i="1"/>
  <c r="C269" i="1"/>
  <c r="F268" i="1"/>
  <c r="C268" i="1"/>
  <c r="F267" i="1"/>
  <c r="C267" i="1"/>
  <c r="F266" i="1"/>
  <c r="C266" i="1"/>
  <c r="F265" i="1"/>
  <c r="C265" i="1"/>
  <c r="F264" i="1"/>
  <c r="C264" i="1"/>
  <c r="F263" i="1"/>
  <c r="C263" i="1"/>
  <c r="F262" i="1"/>
  <c r="C262" i="1"/>
  <c r="F261" i="1"/>
  <c r="C261" i="1"/>
  <c r="F260" i="1"/>
  <c r="C260" i="1"/>
  <c r="F259" i="1"/>
  <c r="C259" i="1"/>
  <c r="F258" i="1"/>
  <c r="C258" i="1"/>
  <c r="F257" i="1"/>
  <c r="C257" i="1"/>
  <c r="F256" i="1"/>
  <c r="C256" i="1"/>
  <c r="F255" i="1"/>
  <c r="C255" i="1"/>
  <c r="F254" i="1"/>
  <c r="C254" i="1"/>
  <c r="F253" i="1"/>
  <c r="C253" i="1"/>
  <c r="F252" i="1"/>
  <c r="C252" i="1"/>
  <c r="F251" i="1"/>
  <c r="C251" i="1"/>
  <c r="F250" i="1"/>
  <c r="C250" i="1"/>
  <c r="F249" i="1"/>
  <c r="C249" i="1"/>
  <c r="F248" i="1"/>
  <c r="C248" i="1"/>
  <c r="F247" i="1"/>
  <c r="C247" i="1"/>
  <c r="F246" i="1"/>
  <c r="C246" i="1"/>
  <c r="F245" i="1"/>
  <c r="C245" i="1"/>
  <c r="F244" i="1"/>
  <c r="C244" i="1"/>
  <c r="F243" i="1"/>
  <c r="C243" i="1"/>
  <c r="F242" i="1"/>
  <c r="C242" i="1"/>
  <c r="F241" i="1"/>
  <c r="C241" i="1"/>
  <c r="F240" i="1"/>
  <c r="C240" i="1"/>
  <c r="F239" i="1"/>
  <c r="C239" i="1"/>
  <c r="F238" i="1"/>
  <c r="C238" i="1"/>
  <c r="F237" i="1"/>
  <c r="C237" i="1"/>
  <c r="F236" i="1"/>
  <c r="C236" i="1"/>
  <c r="F235" i="1"/>
  <c r="C235" i="1"/>
  <c r="F234" i="1"/>
  <c r="C234" i="1"/>
  <c r="F233" i="1"/>
  <c r="C233" i="1"/>
  <c r="F232" i="1"/>
  <c r="C232" i="1"/>
  <c r="F231" i="1"/>
  <c r="C231" i="1"/>
  <c r="F230" i="1"/>
  <c r="C230" i="1"/>
  <c r="F229" i="1"/>
  <c r="C229" i="1"/>
  <c r="F228" i="1"/>
  <c r="C228" i="1"/>
  <c r="F227" i="1"/>
  <c r="C227" i="1"/>
  <c r="F226" i="1"/>
  <c r="C226" i="1"/>
  <c r="F225" i="1"/>
  <c r="C225" i="1"/>
  <c r="F224" i="1"/>
  <c r="C224" i="1"/>
  <c r="F223" i="1"/>
  <c r="C223" i="1"/>
  <c r="F222" i="1"/>
  <c r="C222" i="1"/>
  <c r="F221" i="1"/>
  <c r="C221" i="1"/>
  <c r="F220" i="1"/>
  <c r="C220" i="1"/>
  <c r="F219" i="1"/>
  <c r="C219" i="1"/>
  <c r="F218" i="1"/>
  <c r="C218" i="1"/>
  <c r="F217" i="1"/>
  <c r="C217" i="1"/>
  <c r="F216" i="1"/>
  <c r="C216" i="1"/>
  <c r="F215" i="1"/>
  <c r="C215" i="1"/>
  <c r="F214" i="1"/>
  <c r="C214" i="1"/>
  <c r="F213" i="1"/>
  <c r="C213" i="1"/>
  <c r="F212" i="1"/>
  <c r="C212" i="1"/>
  <c r="F211" i="1"/>
  <c r="C211" i="1"/>
  <c r="F210" i="1"/>
  <c r="C210" i="1"/>
  <c r="F209" i="1"/>
  <c r="C209" i="1"/>
  <c r="F208" i="1"/>
  <c r="C208" i="1"/>
  <c r="F207" i="1"/>
  <c r="C207" i="1"/>
  <c r="F206" i="1"/>
  <c r="C206" i="1"/>
  <c r="F205" i="1"/>
  <c r="C205" i="1"/>
  <c r="F204" i="1"/>
  <c r="C204" i="1"/>
  <c r="F203" i="1"/>
  <c r="C203" i="1"/>
  <c r="F202" i="1"/>
  <c r="C202" i="1"/>
  <c r="F201" i="1"/>
  <c r="C201" i="1"/>
  <c r="F200" i="1"/>
  <c r="C200" i="1"/>
  <c r="F199" i="1"/>
  <c r="C199" i="1"/>
  <c r="F198" i="1"/>
  <c r="C198" i="1"/>
  <c r="F197" i="1"/>
  <c r="C197" i="1"/>
  <c r="F196" i="1"/>
  <c r="C196" i="1"/>
  <c r="F195" i="1"/>
  <c r="C195" i="1"/>
  <c r="F194" i="1"/>
  <c r="C194" i="1"/>
  <c r="F193" i="1"/>
  <c r="C193" i="1"/>
  <c r="F192" i="1"/>
  <c r="C192" i="1"/>
  <c r="F191" i="1"/>
  <c r="C191" i="1"/>
  <c r="F190" i="1"/>
  <c r="C190" i="1"/>
  <c r="F189" i="1"/>
  <c r="C189" i="1"/>
  <c r="F188" i="1"/>
  <c r="C188" i="1"/>
  <c r="F187" i="1"/>
  <c r="C187" i="1"/>
  <c r="F186" i="1"/>
  <c r="C186" i="1"/>
  <c r="F185" i="1"/>
  <c r="C185" i="1"/>
  <c r="F184" i="1"/>
  <c r="C184" i="1"/>
  <c r="F183" i="1"/>
  <c r="C183" i="1"/>
  <c r="F182" i="1"/>
  <c r="C182" i="1"/>
  <c r="F181" i="1"/>
  <c r="C181" i="1"/>
  <c r="F180" i="1"/>
  <c r="C180" i="1"/>
  <c r="F179" i="1"/>
  <c r="C179" i="1"/>
  <c r="F178" i="1"/>
  <c r="C178" i="1"/>
  <c r="F177" i="1"/>
  <c r="C177" i="1"/>
  <c r="F176" i="1"/>
  <c r="C176" i="1"/>
  <c r="F175" i="1"/>
  <c r="C175" i="1"/>
  <c r="F174" i="1"/>
  <c r="C174" i="1"/>
  <c r="F173" i="1"/>
  <c r="C173" i="1"/>
  <c r="F172" i="1"/>
  <c r="C172" i="1"/>
  <c r="F171" i="1"/>
  <c r="C171" i="1"/>
  <c r="F170" i="1"/>
  <c r="C170" i="1"/>
  <c r="F169" i="1"/>
  <c r="C169" i="1"/>
  <c r="F168" i="1"/>
  <c r="C168" i="1"/>
  <c r="F167" i="1"/>
  <c r="C167" i="1"/>
  <c r="F166" i="1"/>
  <c r="C166" i="1"/>
  <c r="F165" i="1"/>
  <c r="C165" i="1"/>
  <c r="F164" i="1"/>
  <c r="C164" i="1"/>
  <c r="F163" i="1"/>
  <c r="C163" i="1"/>
  <c r="F162" i="1"/>
  <c r="C162" i="1"/>
  <c r="F161" i="1"/>
  <c r="C161" i="1"/>
  <c r="F160" i="1"/>
  <c r="C160" i="1"/>
  <c r="F159" i="1"/>
  <c r="C159" i="1"/>
  <c r="F158" i="1"/>
  <c r="C158" i="1"/>
  <c r="F157" i="1"/>
  <c r="C157" i="1"/>
  <c r="F156" i="1"/>
  <c r="C156" i="1"/>
  <c r="F155" i="1"/>
  <c r="C155" i="1"/>
  <c r="F154" i="1"/>
  <c r="C154" i="1"/>
  <c r="F153" i="1"/>
  <c r="C153" i="1"/>
  <c r="F152" i="1"/>
  <c r="C152" i="1"/>
  <c r="F151" i="1"/>
  <c r="C151" i="1"/>
  <c r="F150" i="1"/>
  <c r="C150" i="1"/>
  <c r="F149" i="1"/>
  <c r="C149" i="1"/>
  <c r="F148" i="1"/>
  <c r="C148" i="1"/>
  <c r="F147" i="1"/>
  <c r="C147" i="1"/>
  <c r="F146" i="1"/>
  <c r="C146" i="1"/>
  <c r="F145" i="1"/>
  <c r="C145" i="1"/>
  <c r="F144" i="1"/>
  <c r="C144" i="1"/>
  <c r="F143" i="1"/>
  <c r="C143" i="1"/>
  <c r="F142" i="1"/>
  <c r="C142" i="1"/>
  <c r="F141" i="1"/>
  <c r="C141" i="1"/>
  <c r="F140" i="1"/>
  <c r="C140" i="1"/>
  <c r="F139" i="1"/>
  <c r="C139" i="1"/>
  <c r="F138" i="1"/>
  <c r="C138" i="1"/>
  <c r="F137" i="1"/>
  <c r="C137" i="1"/>
  <c r="F136" i="1"/>
  <c r="C136" i="1"/>
  <c r="F135" i="1"/>
  <c r="C135" i="1"/>
  <c r="F134" i="1"/>
  <c r="C134" i="1"/>
  <c r="F133" i="1"/>
  <c r="C133" i="1"/>
  <c r="F132" i="1"/>
  <c r="C132" i="1"/>
  <c r="F131" i="1"/>
  <c r="C131" i="1"/>
  <c r="F130" i="1"/>
  <c r="C130" i="1"/>
  <c r="F129" i="1"/>
  <c r="C129" i="1"/>
  <c r="F128" i="1"/>
  <c r="C128" i="1"/>
  <c r="F127" i="1"/>
  <c r="C127" i="1"/>
  <c r="F126" i="1"/>
  <c r="C126" i="1"/>
  <c r="F125" i="1"/>
  <c r="C125" i="1"/>
  <c r="F124" i="1"/>
  <c r="C124" i="1"/>
  <c r="F123" i="1"/>
  <c r="C123" i="1"/>
  <c r="F122" i="1"/>
  <c r="C122" i="1"/>
  <c r="F121" i="1"/>
  <c r="C121" i="1"/>
  <c r="F120" i="1"/>
  <c r="C120" i="1"/>
  <c r="F119" i="1"/>
  <c r="C119" i="1"/>
  <c r="F118" i="1"/>
  <c r="C118" i="1"/>
  <c r="F117" i="1"/>
  <c r="C117" i="1"/>
  <c r="F116" i="1"/>
  <c r="C116" i="1"/>
  <c r="F115" i="1"/>
  <c r="C115" i="1"/>
  <c r="F114" i="1"/>
  <c r="C114" i="1"/>
  <c r="F113" i="1"/>
  <c r="C113" i="1"/>
  <c r="F112" i="1"/>
  <c r="C112" i="1"/>
  <c r="F111" i="1"/>
  <c r="C111" i="1"/>
  <c r="F110" i="1"/>
  <c r="C110" i="1"/>
  <c r="F109" i="1"/>
  <c r="C109" i="1"/>
  <c r="F108" i="1"/>
  <c r="C108" i="1"/>
  <c r="F107" i="1"/>
  <c r="C107" i="1"/>
  <c r="F106" i="1"/>
  <c r="C106" i="1"/>
  <c r="F105" i="1"/>
  <c r="C105" i="1"/>
  <c r="F104" i="1"/>
  <c r="C104" i="1"/>
  <c r="F103" i="1"/>
  <c r="C103" i="1"/>
  <c r="F102" i="1"/>
  <c r="C102" i="1"/>
  <c r="F101" i="1"/>
  <c r="C101" i="1"/>
  <c r="F100" i="1"/>
  <c r="C100" i="1"/>
  <c r="F99" i="1"/>
  <c r="C99" i="1"/>
  <c r="F98" i="1"/>
  <c r="C98" i="1"/>
  <c r="F97" i="1"/>
  <c r="C97" i="1"/>
  <c r="F96" i="1"/>
  <c r="C96" i="1"/>
  <c r="F95" i="1"/>
  <c r="C95" i="1"/>
  <c r="F94" i="1"/>
  <c r="C94" i="1"/>
  <c r="F93" i="1"/>
  <c r="C93" i="1"/>
  <c r="F92" i="1"/>
  <c r="C92" i="1"/>
  <c r="F91" i="1"/>
  <c r="C91" i="1"/>
  <c r="F90" i="1"/>
  <c r="C90" i="1"/>
  <c r="F89" i="1"/>
  <c r="C89" i="1"/>
  <c r="F88" i="1"/>
  <c r="C88" i="1"/>
  <c r="F87" i="1"/>
  <c r="C87" i="1"/>
  <c r="F86" i="1"/>
  <c r="C86" i="1"/>
  <c r="F85" i="1"/>
  <c r="C85" i="1"/>
  <c r="F84" i="1"/>
  <c r="C84" i="1"/>
  <c r="F83" i="1"/>
  <c r="C83" i="1"/>
  <c r="F82" i="1"/>
  <c r="C82" i="1"/>
  <c r="F81" i="1"/>
  <c r="C81" i="1"/>
  <c r="F80" i="1"/>
  <c r="C80" i="1"/>
  <c r="F79" i="1"/>
  <c r="C79" i="1"/>
  <c r="F78" i="1"/>
  <c r="C78" i="1"/>
  <c r="F77" i="1"/>
  <c r="C77" i="1"/>
  <c r="F76" i="1"/>
  <c r="C76" i="1"/>
  <c r="F75" i="1"/>
  <c r="C75" i="1"/>
  <c r="F74" i="1"/>
  <c r="C74" i="1"/>
  <c r="F73" i="1"/>
  <c r="C73" i="1"/>
  <c r="F72" i="1"/>
  <c r="C72" i="1"/>
  <c r="F71" i="1"/>
  <c r="C71" i="1"/>
  <c r="F70" i="1"/>
  <c r="C70" i="1"/>
  <c r="F69" i="1"/>
  <c r="C69" i="1"/>
  <c r="F68" i="1"/>
  <c r="C68" i="1"/>
  <c r="F67" i="1"/>
  <c r="C67" i="1"/>
  <c r="F66" i="1"/>
  <c r="C66" i="1"/>
  <c r="F65" i="1"/>
  <c r="C65" i="1"/>
  <c r="F64" i="1"/>
  <c r="C64" i="1"/>
  <c r="F63" i="1"/>
  <c r="C63" i="1"/>
  <c r="F62" i="1"/>
  <c r="C62" i="1"/>
  <c r="F61" i="1"/>
  <c r="C61" i="1"/>
  <c r="F60" i="1"/>
  <c r="C60" i="1"/>
  <c r="F59" i="1"/>
  <c r="C59" i="1"/>
  <c r="F58" i="1"/>
  <c r="C58" i="1"/>
  <c r="F57" i="1"/>
  <c r="C57" i="1"/>
  <c r="F56" i="1"/>
  <c r="C56" i="1"/>
  <c r="F55" i="1"/>
  <c r="C55" i="1"/>
  <c r="F54" i="1"/>
  <c r="C54" i="1"/>
  <c r="F53" i="1"/>
  <c r="C53" i="1"/>
  <c r="F52" i="1"/>
  <c r="C52" i="1"/>
  <c r="F51" i="1"/>
  <c r="C51" i="1"/>
  <c r="F50" i="1"/>
  <c r="C50" i="1"/>
  <c r="F49" i="1"/>
  <c r="C49" i="1"/>
  <c r="F48" i="1"/>
  <c r="C48" i="1"/>
  <c r="F47" i="1"/>
  <c r="C47" i="1"/>
  <c r="F46" i="1"/>
  <c r="C46" i="1"/>
  <c r="F45" i="1"/>
  <c r="C45" i="1"/>
  <c r="F44" i="1"/>
  <c r="C44" i="1"/>
  <c r="F43" i="1"/>
  <c r="C43" i="1"/>
  <c r="F42" i="1"/>
  <c r="C42" i="1"/>
  <c r="F41" i="1"/>
  <c r="C41" i="1"/>
  <c r="F40" i="1"/>
  <c r="C40" i="1"/>
  <c r="F39" i="1"/>
  <c r="C39" i="1"/>
  <c r="F38" i="1"/>
  <c r="C38" i="1"/>
  <c r="F37" i="1"/>
  <c r="C37" i="1"/>
  <c r="F36" i="1"/>
  <c r="C36" i="1"/>
  <c r="F35" i="1"/>
  <c r="C35" i="1"/>
  <c r="F34" i="1"/>
  <c r="C34" i="1"/>
  <c r="F33" i="1"/>
  <c r="C33" i="1"/>
  <c r="F32" i="1"/>
  <c r="C32" i="1"/>
  <c r="F31" i="1"/>
  <c r="C31" i="1"/>
  <c r="F30" i="1"/>
  <c r="C30" i="1"/>
  <c r="F29" i="1"/>
  <c r="C29" i="1"/>
  <c r="F28" i="1"/>
  <c r="C28" i="1"/>
  <c r="F27" i="1"/>
  <c r="C27" i="1"/>
  <c r="F26" i="1"/>
  <c r="C26" i="1"/>
  <c r="F25" i="1"/>
  <c r="C25" i="1"/>
  <c r="F24" i="1"/>
  <c r="C24" i="1"/>
  <c r="F23" i="1"/>
  <c r="C23" i="1"/>
  <c r="F22" i="1"/>
  <c r="C22" i="1"/>
  <c r="F21" i="1"/>
  <c r="C21" i="1"/>
  <c r="F20" i="1"/>
  <c r="C20" i="1"/>
  <c r="F19" i="1"/>
  <c r="C19" i="1"/>
  <c r="F18" i="1"/>
  <c r="C18" i="1"/>
  <c r="F17" i="1"/>
  <c r="C17" i="1"/>
  <c r="F16" i="1"/>
  <c r="C16" i="1"/>
  <c r="F15" i="1"/>
  <c r="C15" i="1"/>
  <c r="F14" i="1"/>
  <c r="C14" i="1"/>
  <c r="F13" i="1"/>
  <c r="C13" i="1"/>
  <c r="F12" i="1"/>
  <c r="C12" i="1"/>
  <c r="F11" i="1"/>
  <c r="C11" i="1"/>
  <c r="F10" i="1"/>
  <c r="C10" i="1"/>
  <c r="F9" i="1"/>
  <c r="C9" i="1"/>
  <c r="F8" i="1"/>
  <c r="C8" i="1"/>
  <c r="F7" i="1"/>
  <c r="C7" i="1"/>
  <c r="F6" i="1"/>
  <c r="C6" i="1"/>
  <c r="F5" i="1"/>
  <c r="C5" i="1"/>
  <c r="F4" i="1"/>
  <c r="C4" i="1"/>
  <c r="F3" i="1"/>
  <c r="C3" i="1"/>
</calcChain>
</file>

<file path=xl/sharedStrings.xml><?xml version="1.0" encoding="utf-8"?>
<sst xmlns="http://schemas.openxmlformats.org/spreadsheetml/2006/main" count="4463" uniqueCount="2154">
  <si>
    <t xml:space="preserve">Understanding the Free and Reduced-Price Percentage Report </t>
  </si>
  <si>
    <t xml:space="preserve">Please read the Free and Reduced-Price Percentage Report linked below for important details on the purpose, formulas, and considerations when reading these data, and how to read the report. </t>
  </si>
  <si>
    <t>Free and Reduced-Price Percentage Report</t>
  </si>
  <si>
    <t>Free and Reduced-Price Report</t>
  </si>
  <si>
    <r>
      <rPr>
        <sz val="12"/>
        <color rgb="FF000000"/>
        <rFont val="Arial"/>
        <family val="2"/>
      </rPr>
      <t xml:space="preserve">The Arizona Department of Education Health and Nutrition Services is responsible for the administration of the United States Department of Agriculture Food and Nutrition Services Child Nutrition Programs. The following Free and Reduced-Price (FRP) report includes each site that is approved to participate in the National School Lunch Program and served and claimed program meals in October 2023. This report includes the data for sites participating under a Special Provision Option, enrollment data, and a calculated site-level FRP percentage based on an allowable data source. The FRP report has been posted to support those who may need these percentages to establish eligibility for specific grants or programs. For additional information on the FRP report, please visit </t>
    </r>
    <r>
      <rPr>
        <u/>
        <sz val="12"/>
        <color rgb="FF012169"/>
        <rFont val="Arial"/>
        <family val="2"/>
      </rPr>
      <t>https://www.azed.gov/hns/frp</t>
    </r>
    <r>
      <rPr>
        <sz val="12"/>
        <color theme="1"/>
        <rFont val="Arial"/>
        <family val="2"/>
      </rPr>
      <t>.</t>
    </r>
  </si>
  <si>
    <t>Sponsor Name</t>
  </si>
  <si>
    <t>Sponsor Entity ID</t>
  </si>
  <si>
    <t>Sponsor CTDS</t>
  </si>
  <si>
    <t>Site Name</t>
  </si>
  <si>
    <t>Site Entity ID</t>
  </si>
  <si>
    <t>Site CTDS</t>
  </si>
  <si>
    <t>Approved Special Provision Option Cycle in School Year 2023-2024</t>
  </si>
  <si>
    <t>Enrollment</t>
  </si>
  <si>
    <t>Calculated HNS FRP Percentage</t>
  </si>
  <si>
    <t>Academy Del Sol, Inc.</t>
  </si>
  <si>
    <t>Academy Del Sol</t>
  </si>
  <si>
    <t>Community Eligibility Provision</t>
  </si>
  <si>
    <t>≥98%</t>
  </si>
  <si>
    <t>Academy Del Sol - Star Valley</t>
  </si>
  <si>
    <t>Academy of Mathematics and Science South, Inc.</t>
  </si>
  <si>
    <t>Academy of Math and Science Avondale</t>
  </si>
  <si>
    <t>Academy of Math and Science Desert Sky</t>
  </si>
  <si>
    <t>Academy of Math and Science Glendale</t>
  </si>
  <si>
    <t>Academy of Math and Science Peoria Advanced</t>
  </si>
  <si>
    <t>Academy of Math and Science South Mountain</t>
  </si>
  <si>
    <t>Academy of Mathematics and Science South</t>
  </si>
  <si>
    <t xml:space="preserve">Provision 2 </t>
  </si>
  <si>
    <t>Academy of Mathematics and Science, Inc.</t>
  </si>
  <si>
    <t>Academy of Math and Science</t>
  </si>
  <si>
    <t>Academy of Math and Science Camelback</t>
  </si>
  <si>
    <t>Academy of Tucson, Inc.</t>
  </si>
  <si>
    <t>Academy of Tucson Elementary School</t>
  </si>
  <si>
    <t>Academy of Tucson High School</t>
  </si>
  <si>
    <t>Academy of Tucson Middle School</t>
  </si>
  <si>
    <t>ACCEL</t>
  </si>
  <si>
    <t>ACCEL East Campus</t>
  </si>
  <si>
    <t>ACCEL Metro Campus</t>
  </si>
  <si>
    <t>Acclaim Charter School</t>
  </si>
  <si>
    <t>ACCLAIM Academy</t>
  </si>
  <si>
    <t>Acorn Montessori Charter School</t>
  </si>
  <si>
    <t>Acorn Montessori Charter School, Inc. - West</t>
  </si>
  <si>
    <t>Adobe Mountain School</t>
  </si>
  <si>
    <t>Agua Fria Union High School District</t>
  </si>
  <si>
    <t>Agua Fria High School</t>
  </si>
  <si>
    <t>Canyon View High School</t>
  </si>
  <si>
    <t>Desert Edge High School</t>
  </si>
  <si>
    <t>Millennium High School</t>
  </si>
  <si>
    <t>Verrado High School</t>
  </si>
  <si>
    <t>Aguila Elementary District</t>
  </si>
  <si>
    <t>Aguila Elementary School</t>
  </si>
  <si>
    <t>Ajo Unified District</t>
  </si>
  <si>
    <t>Ajo Elementary School</t>
  </si>
  <si>
    <t>Ajo High School</t>
  </si>
  <si>
    <t>Alhambra Elementary District</t>
  </si>
  <si>
    <t>Alhambra Preschool Academy</t>
  </si>
  <si>
    <t>Alhambra Traditional School</t>
  </si>
  <si>
    <t>Barcelona Elementary School</t>
  </si>
  <si>
    <t>Carol G. Peck Elementary School</t>
  </si>
  <si>
    <t>Catalina Ventura School</t>
  </si>
  <si>
    <t>Choice Learning Academy</t>
  </si>
  <si>
    <t>Cordova Elementary School</t>
  </si>
  <si>
    <t>Global Academy of Phoenix</t>
  </si>
  <si>
    <t>Granada Elementary School-East Campus</t>
  </si>
  <si>
    <t>Granada Elementary School-West Campus</t>
  </si>
  <si>
    <t>James W. Rice Elementary School</t>
  </si>
  <si>
    <t>Madrid Neighborhood School</t>
  </si>
  <si>
    <t>Sevilla Elementary School-East Campus</t>
  </si>
  <si>
    <t>Sevilla Elementary School-West Campus</t>
  </si>
  <si>
    <t>Valencia Newcomer School</t>
  </si>
  <si>
    <t>Westwood Elementary School</t>
  </si>
  <si>
    <t>Altar Valley Elementary District</t>
  </si>
  <si>
    <t>Altar Valley Middle School</t>
  </si>
  <si>
    <t>Robles Elementary School</t>
  </si>
  <si>
    <t>American Charter Schools Foundation d.b.a. Alta Vista High School</t>
  </si>
  <si>
    <t>Alta Vista High School</t>
  </si>
  <si>
    <t>American Charter Schools Foundation d.b.a. Apache Trail High School</t>
  </si>
  <si>
    <t>Apache Trail High School</t>
  </si>
  <si>
    <t>American Charter Schools Foundation d.b.a. Crestview College Preparatory High Sc</t>
  </si>
  <si>
    <t>Crestview College Preparatory High School</t>
  </si>
  <si>
    <t>American Charter Schools Foundation d.b.a. Desert Hills High School</t>
  </si>
  <si>
    <t>Desert Hills High School</t>
  </si>
  <si>
    <t>American Charter Schools Foundation d.b.a. Estrella High School</t>
  </si>
  <si>
    <t>Estrella High School</t>
  </si>
  <si>
    <t>American Charter Schools Foundation d.b.a. Peoria Accelerated High School</t>
  </si>
  <si>
    <t>Peoria Accelerated High School</t>
  </si>
  <si>
    <t>American Charter Schools Foundation d.b.a. South Pointe High School</t>
  </si>
  <si>
    <t>South Pointe High School</t>
  </si>
  <si>
    <t>American Charter Schools Foundation d.b.a. South Ridge High School</t>
  </si>
  <si>
    <t>South Ridge High School</t>
  </si>
  <si>
    <t>American Charter Schools Foundation d.b.a. Sun Valley High School</t>
  </si>
  <si>
    <t>Sun Valley High School</t>
  </si>
  <si>
    <t>American Charter Schools Foundation d.b.a. West Phoenix High School</t>
  </si>
  <si>
    <t>West Phoenix High School</t>
  </si>
  <si>
    <t>American Charter Schools Foundation dba Ridgeview College Preparatory High Schoo</t>
  </si>
  <si>
    <t>Ridgeview College Preparatory High School</t>
  </si>
  <si>
    <t>American Leadership Academy, Inc.</t>
  </si>
  <si>
    <t>American Leadership Academy Signal Butte K-6</t>
  </si>
  <si>
    <t>American Leadership Academy, Anthem K-6</t>
  </si>
  <si>
    <t>American Leadership Academy, Ironwood K12</t>
  </si>
  <si>
    <t>American Leadership Academy, San Tan Valley K-6</t>
  </si>
  <si>
    <t>Amphitheater Unified District</t>
  </si>
  <si>
    <t>Amphitheater High School</t>
  </si>
  <si>
    <t>Amphitheater Middle School</t>
  </si>
  <si>
    <t>Canyon Del Oro High School</t>
  </si>
  <si>
    <t>Copper Creek Elementary School</t>
  </si>
  <si>
    <t>Coronado K-8 School</t>
  </si>
  <si>
    <t>E C Nash School</t>
  </si>
  <si>
    <t>Frances Owen Holaway Elementary School</t>
  </si>
  <si>
    <t>Helen Keeling Elementary School</t>
  </si>
  <si>
    <t>Ironwood Ridge High School</t>
  </si>
  <si>
    <t>L M Prince School</t>
  </si>
  <si>
    <t>La Cima Middle School</t>
  </si>
  <si>
    <t>Lawrence W Cross Middle School</t>
  </si>
  <si>
    <t>Lulu Walker School</t>
  </si>
  <si>
    <t>Marion Donaldson Elementary School</t>
  </si>
  <si>
    <t>Mesa Verde Elementary School</t>
  </si>
  <si>
    <t>Painted Sky Elementary School</t>
  </si>
  <si>
    <t>Richard B Wilson Jr School</t>
  </si>
  <si>
    <t>Rillito Center</t>
  </si>
  <si>
    <t>Rio Vista Elementary School</t>
  </si>
  <si>
    <t>The Innovation Academy</t>
  </si>
  <si>
    <t>Winifred Harelson Elementary School</t>
  </si>
  <si>
    <t>Antelope Union High School District</t>
  </si>
  <si>
    <t>Antelope Union High School</t>
  </si>
  <si>
    <t>Apache Junction Unified District</t>
  </si>
  <si>
    <t>Apache Junction High School</t>
  </si>
  <si>
    <t>Cactus Canyon Junior High</t>
  </si>
  <si>
    <t>Desert Vista Elementary School</t>
  </si>
  <si>
    <t>Four Peaks Elementary School</t>
  </si>
  <si>
    <t>Peralta Trail Elementary School</t>
  </si>
  <si>
    <t>Aprender Tucson</t>
  </si>
  <si>
    <t>Southside Community School</t>
  </si>
  <si>
    <t>ARCHES Academy</t>
  </si>
  <si>
    <t>Arizona Autism Charter Schools, Inc.</t>
  </si>
  <si>
    <t>Arizona Autism Charter School</t>
  </si>
  <si>
    <t>Arizona Autism Charter School, Upper School Campus</t>
  </si>
  <si>
    <t>Arizona Autism Charter School, West Valley Campus</t>
  </si>
  <si>
    <t>Arizona Community Development Corporation</t>
  </si>
  <si>
    <t>La Paloma Academy</t>
  </si>
  <si>
    <t>La Paloma Academy (Lakeside)</t>
  </si>
  <si>
    <t>La Paloma Academy-South</t>
  </si>
  <si>
    <t>Arizona Cultural Academy</t>
  </si>
  <si>
    <t>Arizona Department of Corrections</t>
  </si>
  <si>
    <t>Success Academy - Lewis</t>
  </si>
  <si>
    <t>Arizona State Schools for the Deaf and the Blind</t>
  </si>
  <si>
    <t>ASDB - Phoenix Day School for the Deaf</t>
  </si>
  <si>
    <t>ASDB/Child Nutrition Program</t>
  </si>
  <si>
    <t>Arlington Elementary District</t>
  </si>
  <si>
    <t>Arlington Elementary School</t>
  </si>
  <si>
    <t>Ash Creek Elementary District</t>
  </si>
  <si>
    <t>Ash Creek Elementary</t>
  </si>
  <si>
    <t>Ash Fork Joint Unified District</t>
  </si>
  <si>
    <t>Ash Fork Elementary School</t>
  </si>
  <si>
    <t>Ash Fork High School</t>
  </si>
  <si>
    <t>Ash Fork Middle School</t>
  </si>
  <si>
    <t>ASU Preparatory Academy</t>
  </si>
  <si>
    <t>ASU Preparatory Academy - Phoenix Middle School</t>
  </si>
  <si>
    <t>ASU Preparatory Academy - South Phoenix High School</t>
  </si>
  <si>
    <t>ASU Preparatory Academy - South Phoenix Intermediate</t>
  </si>
  <si>
    <t>ASU Preparatory Academy - South Phoenix Primary</t>
  </si>
  <si>
    <t>ASU Preparatory Academy- Phoenix Elementary</t>
  </si>
  <si>
    <t>ASU Preparatory Academy- Phoenix High School</t>
  </si>
  <si>
    <t>ASU Preparatory Academy- Pilgrim Rest K-8</t>
  </si>
  <si>
    <t>Avondale Elementary District</t>
  </si>
  <si>
    <t>Avondale Middle School</t>
  </si>
  <si>
    <t>Centerra Mirage STEM Academy</t>
  </si>
  <si>
    <t>Copper Trails</t>
  </si>
  <si>
    <t>Desert Star</t>
  </si>
  <si>
    <t>Desert Thunder</t>
  </si>
  <si>
    <t>Eliseo C. Felix School</t>
  </si>
  <si>
    <t>Lattie Coor</t>
  </si>
  <si>
    <t>Michael Anderson</t>
  </si>
  <si>
    <t>St. John Vianney Catholic School</t>
  </si>
  <si>
    <t>Wildflower Accelerated Academy</t>
  </si>
  <si>
    <t>Baboquivari Unified School District #40</t>
  </si>
  <si>
    <t>Alternative High School (Indian Oasis High School)</t>
  </si>
  <si>
    <t>Alternative Middle School (Indian Oasis Middle School)</t>
  </si>
  <si>
    <t>Baboquivari High School</t>
  </si>
  <si>
    <t>Baboquivari Middle School</t>
  </si>
  <si>
    <t>Indian Oasis Intermediate Elementary School</t>
  </si>
  <si>
    <t>Indian Oasis Primary Elementary School</t>
  </si>
  <si>
    <t>Bagdad Unified District</t>
  </si>
  <si>
    <t>Bagdad Elementary School</t>
  </si>
  <si>
    <t>Bagdad Middle / Senior High School</t>
  </si>
  <si>
    <t>Ball Charter Schools (Dobson)</t>
  </si>
  <si>
    <t>Dobson Academy, The - A Ball Charter School</t>
  </si>
  <si>
    <t>Ball Charter Schools (Hearn)</t>
  </si>
  <si>
    <t>Hearn Academy, The - A Ball Charter School</t>
  </si>
  <si>
    <t>Balsz Elementary District</t>
  </si>
  <si>
    <t>Brunson-Lee Elementary School</t>
  </si>
  <si>
    <t>David Crockett Elementary School</t>
  </si>
  <si>
    <t>Griffith Elementary School</t>
  </si>
  <si>
    <t>Orangedale Early Learning Center</t>
  </si>
  <si>
    <t>Pat Tillman Middle School</t>
  </si>
  <si>
    <t>BASIS Charter Schools, Inc.</t>
  </si>
  <si>
    <t>BASIS Phoenix South</t>
  </si>
  <si>
    <t>Beaver Creek Elementary District</t>
  </si>
  <si>
    <t>Beaver Creek School</t>
  </si>
  <si>
    <t>Bell Canyon Charter School, Inc</t>
  </si>
  <si>
    <t>Imagine Bell Canyon</t>
  </si>
  <si>
    <t>Benson Unified School District</t>
  </si>
  <si>
    <t>Benson Digital Learning Center</t>
  </si>
  <si>
    <t>Benson High School</t>
  </si>
  <si>
    <t>Benson Middle School</t>
  </si>
  <si>
    <t>Benson Primary School</t>
  </si>
  <si>
    <t>Bicentennial Union High School District</t>
  </si>
  <si>
    <t>Salome High School</t>
  </si>
  <si>
    <t>Bisbee Unified District</t>
  </si>
  <si>
    <t>Bisbee High School</t>
  </si>
  <si>
    <t>Greenway Primary School</t>
  </si>
  <si>
    <t>Lowell School</t>
  </si>
  <si>
    <t>Black Mesa Community School</t>
  </si>
  <si>
    <t>Blackwater Community School, Inc.</t>
  </si>
  <si>
    <t>Blackwater Community School</t>
  </si>
  <si>
    <t>Blue Ridge Unified School District No. 32</t>
  </si>
  <si>
    <t>Blue Ridge Elementary School</t>
  </si>
  <si>
    <t>Blue Ridge High School</t>
  </si>
  <si>
    <t>Blue Ridge Jr High School</t>
  </si>
  <si>
    <t>Bonita Elementary District</t>
  </si>
  <si>
    <t>Bonita Elementary School</t>
  </si>
  <si>
    <t>Bouse Elementary District</t>
  </si>
  <si>
    <t>Bouse Elementary School</t>
  </si>
  <si>
    <t>Bowie Unified District</t>
  </si>
  <si>
    <t>Bowie Elementary School</t>
  </si>
  <si>
    <t>Bowie High School</t>
  </si>
  <si>
    <t>Buckeye Elementary District</t>
  </si>
  <si>
    <t>Bales Elementary School</t>
  </si>
  <si>
    <t>Buckeye Elementary School</t>
  </si>
  <si>
    <t>Inca Elementary School</t>
  </si>
  <si>
    <t>John S McCain III Elementary School</t>
  </si>
  <si>
    <t>Marionneaux Elementary School</t>
  </si>
  <si>
    <t>Steven R. Jasinski Elementary School</t>
  </si>
  <si>
    <t>Sundance Elementary</t>
  </si>
  <si>
    <t>Westpark Elementary School</t>
  </si>
  <si>
    <t>Buckeye Union High School District</t>
  </si>
  <si>
    <t>Buckeye Union High School</t>
  </si>
  <si>
    <t>Estrella Foothills High School</t>
  </si>
  <si>
    <t>Youngker High School</t>
  </si>
  <si>
    <t>Bullhead City School District</t>
  </si>
  <si>
    <t>Bullhead City Middle School</t>
  </si>
  <si>
    <t>Coyote Canyon School</t>
  </si>
  <si>
    <t>Desert Valley School</t>
  </si>
  <si>
    <t>Diamondback Elementary School</t>
  </si>
  <si>
    <t>Fox Creek Jr High School</t>
  </si>
  <si>
    <t>Sunrise Elementary</t>
  </si>
  <si>
    <t>CAFA, Inc. dba Learning Foundation and Performing Arts Gilbert</t>
  </si>
  <si>
    <t>Learning Foundation and Performing Arts Warner</t>
  </si>
  <si>
    <t>CAFA, Inc. dba Learning Foundation Performing Arts School</t>
  </si>
  <si>
    <t>Learning Foundation</t>
  </si>
  <si>
    <t>Calibre Academy</t>
  </si>
  <si>
    <t>Calibre Academy Surprise</t>
  </si>
  <si>
    <t>Camelback Education, Inc</t>
  </si>
  <si>
    <t>Camelback Academy</t>
  </si>
  <si>
    <t>Camp Verde Unified District</t>
  </si>
  <si>
    <t>Camp Verde Accommodation School</t>
  </si>
  <si>
    <t>Camp Verde Elementary School</t>
  </si>
  <si>
    <t>Camp Verde High School</t>
  </si>
  <si>
    <t>Camp Verde Middle School</t>
  </si>
  <si>
    <t>Canon Elementary District</t>
  </si>
  <si>
    <t>Canon School</t>
  </si>
  <si>
    <t>Canyon State Academy</t>
  </si>
  <si>
    <t>Sycamore Canyon Academy</t>
  </si>
  <si>
    <t>Career Development, Inc.</t>
  </si>
  <si>
    <t>Northern AZ Academy for Career Dev. - Taylor</t>
  </si>
  <si>
    <t>Career Success Schools</t>
  </si>
  <si>
    <t>Career Success School - Sage Campus</t>
  </si>
  <si>
    <t>Career Success Schools - STEM Academy 7-12</t>
  </si>
  <si>
    <t>Robert L. Duffy High School</t>
  </si>
  <si>
    <t>Tech Campus</t>
  </si>
  <si>
    <t>Cartwright Elementary District</t>
  </si>
  <si>
    <t>Bret R. Tarver Leadership Academy</t>
  </si>
  <si>
    <t>Cartwright Early Childhood Center</t>
  </si>
  <si>
    <t>Cartwright School</t>
  </si>
  <si>
    <t>Charles W. Harris School</t>
  </si>
  <si>
    <t>Desert Sands Academy of Mass Communication &amp;amp; Journalism</t>
  </si>
  <si>
    <t>Estrella Middle School College and Career Prep</t>
  </si>
  <si>
    <t>Frank Borman School</t>
  </si>
  <si>
    <t>G. Frank Davidson</t>
  </si>
  <si>
    <t>Glenn L. Downs Social Sciences Academy</t>
  </si>
  <si>
    <t>Heatherbrae School</t>
  </si>
  <si>
    <t>Holiday Park School</t>
  </si>
  <si>
    <t>John F. Long</t>
  </si>
  <si>
    <t>Justine Spitalny STE3AM School</t>
  </si>
  <si>
    <t>Manuel Pena Jr. School</t>
  </si>
  <si>
    <t>Marc T. Atkinson Middle School &amp;amp; Gifted Academy</t>
  </si>
  <si>
    <t>Palm Lane</t>
  </si>
  <si>
    <t>Peralta School</t>
  </si>
  <si>
    <t>Raul H. Castro Middle School: Academy of Fine Arts</t>
  </si>
  <si>
    <t>Starlight Park College Preparatory and Community School</t>
  </si>
  <si>
    <t>Sunset School</t>
  </si>
  <si>
    <t>Tomahawk School</t>
  </si>
  <si>
    <t>CASA Academy</t>
  </si>
  <si>
    <t>Casa Grande Elementary District</t>
  </si>
  <si>
    <t>Cactus Middle School</t>
  </si>
  <si>
    <t>Casa Grande Middle School</t>
  </si>
  <si>
    <t>Center for Online and Innovative Learning</t>
  </si>
  <si>
    <t>Cholla Elementary School</t>
  </si>
  <si>
    <t>Cottonwood Elementary School</t>
  </si>
  <si>
    <t>Desert Willow Elementary School</t>
  </si>
  <si>
    <t>Ironwood School</t>
  </si>
  <si>
    <t>McCartney Ranch Elementary School</t>
  </si>
  <si>
    <t>Mesquite Elementary School</t>
  </si>
  <si>
    <t>Palo Verde School</t>
  </si>
  <si>
    <t>Saguaro Elementary School</t>
  </si>
  <si>
    <t>Villago Middle School</t>
  </si>
  <si>
    <t>Casa Grande Union High School District</t>
  </si>
  <si>
    <t>Casa Grande Union High School</t>
  </si>
  <si>
    <t>PACE</t>
  </si>
  <si>
    <t>Vista Grande High School</t>
  </si>
  <si>
    <t>Catalina Foothills Unified District</t>
  </si>
  <si>
    <t>Canyon View Elementary School</t>
  </si>
  <si>
    <t>Catalina Foothills High School</t>
  </si>
  <si>
    <t>Esperero Canyon Middle School</t>
  </si>
  <si>
    <t>Manzanita School</t>
  </si>
  <si>
    <t>Orange Grove Middle School</t>
  </si>
  <si>
    <t>Sunrise Drive Elementary School</t>
  </si>
  <si>
    <t>Ventana Vista Elementary School</t>
  </si>
  <si>
    <t>Cave Creek Unified District</t>
  </si>
  <si>
    <t>Black Mountain Elementary School</t>
  </si>
  <si>
    <t>Cactus Shadows High School</t>
  </si>
  <si>
    <t>Desert Sun Academy</t>
  </si>
  <si>
    <t>Horseshoe Trails Elementary School</t>
  </si>
  <si>
    <t>Lone Mountain Elementary School</t>
  </si>
  <si>
    <t>Sonoran Trails Middle School</t>
  </si>
  <si>
    <t>Cedar Unified District</t>
  </si>
  <si>
    <t>Jeddito School</t>
  </si>
  <si>
    <t>Center for Academic Success, Inc.</t>
  </si>
  <si>
    <t>Center for Academic Success #1 - Sierra Vista 9-12</t>
  </si>
  <si>
    <t>Center for Academic Success #2 - Douglas 9-12</t>
  </si>
  <si>
    <t>Center for Academic Success #3 - Douglas K-4</t>
  </si>
  <si>
    <t>Center for Academic Success #4 - Douglas 5-8</t>
  </si>
  <si>
    <t>Center for Academic Success #5 - Sierra Vista K-8</t>
  </si>
  <si>
    <t>Challenge School, Inc.</t>
  </si>
  <si>
    <t>Challenge Charter School</t>
  </si>
  <si>
    <t>Chandler Unified District #80</t>
  </si>
  <si>
    <t>Anna Marie Jacobson  Elementary School</t>
  </si>
  <si>
    <t>Arizona College Prep High School</t>
  </si>
  <si>
    <t>Arizona College Prep Middle School</t>
  </si>
  <si>
    <t>Audrey &amp;amp; Robert Ryan Elementary</t>
  </si>
  <si>
    <t>Basha Elementary</t>
  </si>
  <si>
    <t>Basha High School</t>
  </si>
  <si>
    <t>Bogle Junior High School</t>
  </si>
  <si>
    <t>Chandler High School</t>
  </si>
  <si>
    <t>Chandler Traditional Academy - Goodman</t>
  </si>
  <si>
    <t>Chandler Traditional Academy - Independence</t>
  </si>
  <si>
    <t>Chandler Traditional Academy - Liberty Campus</t>
  </si>
  <si>
    <t>Chandler Traditional Academy-Freedom</t>
  </si>
  <si>
    <t>Chandler Traditional Academy-Humphrey</t>
  </si>
  <si>
    <t>Charlotte Patterson Elementary</t>
  </si>
  <si>
    <t>Dr Howard K Conley Elementary School</t>
  </si>
  <si>
    <t>Dr. Camille Casteel High School</t>
  </si>
  <si>
    <t>Dr. Gary and Annette Auxier Elementary School</t>
  </si>
  <si>
    <t>Frye Elementary School</t>
  </si>
  <si>
    <t>Galveston Elementary School</t>
  </si>
  <si>
    <t>Haley Elementary</t>
  </si>
  <si>
    <t>Hamilton High School</t>
  </si>
  <si>
    <t>Hartford Sylvia Encinas Elementary</t>
  </si>
  <si>
    <t>Ira A. Fulton Elementary</t>
  </si>
  <si>
    <t>Jane D. Hull Elementary</t>
  </si>
  <si>
    <t>John &amp;amp; Carol Carlson Elementary</t>
  </si>
  <si>
    <t>John M Andersen Elementary School</t>
  </si>
  <si>
    <t>John M Andersen Jr High School</t>
  </si>
  <si>
    <t>Ken 'Chief' Hill Learning Academy</t>
  </si>
  <si>
    <t>Knox Gifted Academy</t>
  </si>
  <si>
    <t>Navarrete Elementary</t>
  </si>
  <si>
    <t>Perry High School</t>
  </si>
  <si>
    <t>Riggs Elementary</t>
  </si>
  <si>
    <t>Robert and Danell Tarwater Elementary</t>
  </si>
  <si>
    <t>Robert J.C. Rice Elementary School</t>
  </si>
  <si>
    <t>Rudy G Bologna Elementary</t>
  </si>
  <si>
    <t>San Marcos Elementary School</t>
  </si>
  <si>
    <t>Sanborn Elementary School</t>
  </si>
  <si>
    <t>Santan Elementary</t>
  </si>
  <si>
    <t>Santan Junior High School</t>
  </si>
  <si>
    <t>Shumway Leadership Academy</t>
  </si>
  <si>
    <t>T. Dale Hancock Elementary School</t>
  </si>
  <si>
    <t>Weinberg Gifted Academy</t>
  </si>
  <si>
    <t>Willie &amp;amp; Coy Payne Jr. High</t>
  </si>
  <si>
    <t>Willis Junior High School</t>
  </si>
  <si>
    <t>Chilchinbeto Community School</t>
  </si>
  <si>
    <t>Chinle Unified District</t>
  </si>
  <si>
    <t>Canyon De Chelly Elementary School</t>
  </si>
  <si>
    <t>Chinle Elementary School</t>
  </si>
  <si>
    <t>Chinle High School</t>
  </si>
  <si>
    <t>Chinle Junior High School</t>
  </si>
  <si>
    <t>Many Farms Elementary School</t>
  </si>
  <si>
    <t>Mesa View Elementary</t>
  </si>
  <si>
    <t>Tsaile Elementary School</t>
  </si>
  <si>
    <t>Chino Valley Unified District</t>
  </si>
  <si>
    <t>Chino Valley High School</t>
  </si>
  <si>
    <t>Del Rio Elementary School</t>
  </si>
  <si>
    <t>Heritage Middle School</t>
  </si>
  <si>
    <t>Territorial Early Childhood Center</t>
  </si>
  <si>
    <t>Choice Academies, Inc.</t>
  </si>
  <si>
    <t>Adams Traditional Academy</t>
  </si>
  <si>
    <t>Jefferson Preparatory High School</t>
  </si>
  <si>
    <t>Cholla Academy</t>
  </si>
  <si>
    <t>Westland School</t>
  </si>
  <si>
    <t>Westland School Brighton Campus</t>
  </si>
  <si>
    <t>Christ the King Catholic School</t>
  </si>
  <si>
    <t>Cibecue Community School, Inc.</t>
  </si>
  <si>
    <t>Dishchii'bikoh Community School</t>
  </si>
  <si>
    <t>CITY Center for Collaborative Learning</t>
  </si>
  <si>
    <t>City High School</t>
  </si>
  <si>
    <t>Paulo Freire Freedom School - Downtown</t>
  </si>
  <si>
    <t>Paulo Freire Freedom School - University</t>
  </si>
  <si>
    <t>Clarkdale-Jerome Elementary District</t>
  </si>
  <si>
    <t>Clarkdale-Jerome Elementary School</t>
  </si>
  <si>
    <t>Cochise Community Development Corporation</t>
  </si>
  <si>
    <t>AAEC - SMCC Campus</t>
  </si>
  <si>
    <t>Bennett Academy</t>
  </si>
  <si>
    <t>Bennett Academy - Venture Site</t>
  </si>
  <si>
    <t>Berean Academy</t>
  </si>
  <si>
    <t>Pioneer Technology &amp;amp; Arts Academy of Arizona</t>
  </si>
  <si>
    <t>Pleasantview Christian Elementary</t>
  </si>
  <si>
    <t>Cochise Elementary District</t>
  </si>
  <si>
    <t>Cochise Elementary School</t>
  </si>
  <si>
    <t>Coconino County Juvenile Court Services</t>
  </si>
  <si>
    <t>Colorado City Unified District</t>
  </si>
  <si>
    <t>Cottonwood Elementary</t>
  </si>
  <si>
    <t>El Capitan Public School</t>
  </si>
  <si>
    <t>Colorado River Union High School District</t>
  </si>
  <si>
    <t>Mohave High School</t>
  </si>
  <si>
    <t>River Valley High School</t>
  </si>
  <si>
    <t>Concho Elementary District</t>
  </si>
  <si>
    <t>Concho Elementary School</t>
  </si>
  <si>
    <t>Concordia Charter School, Inc.</t>
  </si>
  <si>
    <t>Concordia Charter School</t>
  </si>
  <si>
    <t>Congress Elementary District</t>
  </si>
  <si>
    <t>Congress Elementary School</t>
  </si>
  <si>
    <t>Continental Elementary District</t>
  </si>
  <si>
    <t>Continental Elementary School</t>
  </si>
  <si>
    <t>Coolidge Unified District</t>
  </si>
  <si>
    <t>Coolidge Alternative Program</t>
  </si>
  <si>
    <t>Coolidge High School</t>
  </si>
  <si>
    <t>Coolidge Jr. High School</t>
  </si>
  <si>
    <t>Heartland Ranch Elementary School</t>
  </si>
  <si>
    <t>West Elementary School</t>
  </si>
  <si>
    <t>Cornerstone Charter School,Inc</t>
  </si>
  <si>
    <t>Cornerstone Charter School</t>
  </si>
  <si>
    <t>Cortez Park Charter Middle School, Inc.</t>
  </si>
  <si>
    <t>Imagine Cortez Park Middle</t>
  </si>
  <si>
    <t>Cottonwood Day School</t>
  </si>
  <si>
    <t>Cottonwood-Oak Creek Elementary District</t>
  </si>
  <si>
    <t>Cottonwood Community School</t>
  </si>
  <si>
    <t>Cottonwood Education Services</t>
  </si>
  <si>
    <t>Dr Daniel Bright Elementary School</t>
  </si>
  <si>
    <t>Mountain View Preparatory School</t>
  </si>
  <si>
    <t>Oak Creek Elementary School</t>
  </si>
  <si>
    <t>CPLC Community Schools dba Hiaki High School</t>
  </si>
  <si>
    <t>Envision High School</t>
  </si>
  <si>
    <t>CPLC Community Schools dba Toltecalli High School</t>
  </si>
  <si>
    <t>Girls Leadership Academy of Arizona</t>
  </si>
  <si>
    <t>Toltecali High School</t>
  </si>
  <si>
    <t>Crane Elementary District</t>
  </si>
  <si>
    <t>Centennial Middle School</t>
  </si>
  <si>
    <t>Crane Middle School</t>
  </si>
  <si>
    <t>Gary A. Knox Elementary School</t>
  </si>
  <si>
    <t>Gowan Science Academy</t>
  </si>
  <si>
    <t>H L Suverkrup Elementary School</t>
  </si>
  <si>
    <t>Menta Academy Yuma</t>
  </si>
  <si>
    <t>Mesquite Elementary</t>
  </si>
  <si>
    <t>Pueblo Elementary School</t>
  </si>
  <si>
    <t>Ronald Reagan Fundamental School</t>
  </si>
  <si>
    <t>Salida Del Sol Elementary</t>
  </si>
  <si>
    <t>Valley Horizon Elementary School</t>
  </si>
  <si>
    <t>Creighton Elementary District</t>
  </si>
  <si>
    <t>Biltmore Preparatory Academy</t>
  </si>
  <si>
    <t>Excelencia School</t>
  </si>
  <si>
    <t>Gateway School</t>
  </si>
  <si>
    <t>Larry C Kennedy School</t>
  </si>
  <si>
    <t>Loma Linda Elementary School</t>
  </si>
  <si>
    <t>Monte Vista Elementary School</t>
  </si>
  <si>
    <t>Papago School</t>
  </si>
  <si>
    <t>The Creighton Academy</t>
  </si>
  <si>
    <t>William T Machan Elementary School</t>
  </si>
  <si>
    <t>Daisy Education Corporation dba Paragon Science Academy</t>
  </si>
  <si>
    <t>Paragon Science Academy</t>
  </si>
  <si>
    <t>Daisy Education Corporation dba Sonoran Science Academy</t>
  </si>
  <si>
    <t>Sonoran Science Academy - Tucson</t>
  </si>
  <si>
    <t>Daisy Education Corporation dba Sonoran Science Academy - Phoenix</t>
  </si>
  <si>
    <t>Sonoran Science Academy - Phoenix</t>
  </si>
  <si>
    <t>Daisy Education Corporation dba Sonoran Science Academy East</t>
  </si>
  <si>
    <t>Sonoran Science Academy East</t>
  </si>
  <si>
    <t>Daisy Education Corporation dba. Sonoran Science Academy Davis Monthan</t>
  </si>
  <si>
    <t>Sonoran Science Academy - Davis Monthan</t>
  </si>
  <si>
    <t>Daisy Education Corporation dba. Sonoran Science Academy Peoria</t>
  </si>
  <si>
    <t>Sonoran Science Academy-Peoria</t>
  </si>
  <si>
    <t>Deer Valley Unified District</t>
  </si>
  <si>
    <t>Anthem School</t>
  </si>
  <si>
    <t>Arrowhead Elementary School</t>
  </si>
  <si>
    <t>Barry Goldwater High School</t>
  </si>
  <si>
    <t>Boulder Creek High School</t>
  </si>
  <si>
    <t>Canyon Springs STEM Academy</t>
  </si>
  <si>
    <t>Constitution Elementary School</t>
  </si>
  <si>
    <t>Deer Valley High School</t>
  </si>
  <si>
    <t>Deer Valley Middle School</t>
  </si>
  <si>
    <t>Desert Mountain School</t>
  </si>
  <si>
    <t>Desert Sage Elementary School</t>
  </si>
  <si>
    <t>Desert Sky Middle School</t>
  </si>
  <si>
    <t>Diamond Canyon School</t>
  </si>
  <si>
    <t>Esperanza Elementary School</t>
  </si>
  <si>
    <t>Gavilan Peak School</t>
  </si>
  <si>
    <t>Greenbrier Elementary School</t>
  </si>
  <si>
    <t>Highland Lakes School</t>
  </si>
  <si>
    <t>Hillcrest Middle School</t>
  </si>
  <si>
    <t>Inspiration Mountain School</t>
  </si>
  <si>
    <t>Las Brisas Elementary School</t>
  </si>
  <si>
    <t>Legend Springs Elementary</t>
  </si>
  <si>
    <t>Mirage Elementary School</t>
  </si>
  <si>
    <t>Mountain Ridge High School</t>
  </si>
  <si>
    <t>Mountain Shadows Elementary School</t>
  </si>
  <si>
    <t>New River Elementary School</t>
  </si>
  <si>
    <t>Norterra Canyon School</t>
  </si>
  <si>
    <t>Park Meadows Elementary School</t>
  </si>
  <si>
    <t>Paseo Hills School</t>
  </si>
  <si>
    <t>Sandra Day O'Connor High School</t>
  </si>
  <si>
    <t>Sierra Verde STEAM Academy</t>
  </si>
  <si>
    <t>Sonoran Foothills School</t>
  </si>
  <si>
    <t>Stetson Hills School</t>
  </si>
  <si>
    <t>Sunrise Elementary School</t>
  </si>
  <si>
    <t>Sunset Ridge School</t>
  </si>
  <si>
    <t>Terramar Academy of the Arts</t>
  </si>
  <si>
    <t>Traditional Academy at Bellair</t>
  </si>
  <si>
    <t>Union Park School</t>
  </si>
  <si>
    <t>Village Meadows Elementary School</t>
  </si>
  <si>
    <t>Vista Peak</t>
  </si>
  <si>
    <t>West Wing School</t>
  </si>
  <si>
    <t>Dennehotso Boarding School</t>
  </si>
  <si>
    <t>Desert Heights Charter Schools</t>
  </si>
  <si>
    <t>Desert Heights Charter School</t>
  </si>
  <si>
    <t>Desert Sage School</t>
  </si>
  <si>
    <t>Desert Sage High School</t>
  </si>
  <si>
    <t>Desert Sky Community School, Inc.</t>
  </si>
  <si>
    <t>Desert Sky Community School</t>
  </si>
  <si>
    <t>Destiny School, Inc.</t>
  </si>
  <si>
    <t>Destiny School</t>
  </si>
  <si>
    <t>Devereux Arizona</t>
  </si>
  <si>
    <t>Devereux Arizona - Sweetwater Campus</t>
  </si>
  <si>
    <t>Dilcon Community School, Inc.</t>
  </si>
  <si>
    <t>Discovery Plus Academy</t>
  </si>
  <si>
    <t>Douglas Unified District</t>
  </si>
  <si>
    <t>Clawson School</t>
  </si>
  <si>
    <t>Douglas High School</t>
  </si>
  <si>
    <t>Faras Elementary School</t>
  </si>
  <si>
    <t>Joe Carlson Elementary School</t>
  </si>
  <si>
    <t>Paul H Huber Jr High School</t>
  </si>
  <si>
    <t>Ray Borane Middle School</t>
  </si>
  <si>
    <t>Sarah Marley School</t>
  </si>
  <si>
    <t>Stevenson Elementary School</t>
  </si>
  <si>
    <t>Duncan Unified District</t>
  </si>
  <si>
    <t>Duncan Elementary</t>
  </si>
  <si>
    <t>Duncan High School</t>
  </si>
  <si>
    <t>Dysart Unified District</t>
  </si>
  <si>
    <t>Asante Preparatory Academy</t>
  </si>
  <si>
    <t>Ashton Ranch Middle School</t>
  </si>
  <si>
    <t>Canyon Ridge School</t>
  </si>
  <si>
    <t>Cimarron Springs Middle School</t>
  </si>
  <si>
    <t>Countryside Elementary School</t>
  </si>
  <si>
    <t>Dysart High School</t>
  </si>
  <si>
    <t>Dysart Middle School</t>
  </si>
  <si>
    <t>El Mirage Elementary School</t>
  </si>
  <si>
    <t>Freedom Traditional Academy</t>
  </si>
  <si>
    <t>Kingswood Elementary School</t>
  </si>
  <si>
    <t>Luke Elementary School</t>
  </si>
  <si>
    <t>Marley Park Elementary</t>
  </si>
  <si>
    <t>Mountain View</t>
  </si>
  <si>
    <t>Rancho Gabriela</t>
  </si>
  <si>
    <t>Riverview School</t>
  </si>
  <si>
    <t>Shadow Ridge High School</t>
  </si>
  <si>
    <t>Sonoran Heights Middle School</t>
  </si>
  <si>
    <t>Sunset Hills Elementary</t>
  </si>
  <si>
    <t>Surprise Elementary School</t>
  </si>
  <si>
    <t>Thompson Ranch Elementary</t>
  </si>
  <si>
    <t>Valley Vista High School</t>
  </si>
  <si>
    <t>West Point Elementary School</t>
  </si>
  <si>
    <t>Western Peaks Elementary</t>
  </si>
  <si>
    <t>Willow Canyon High School</t>
  </si>
  <si>
    <t>EAGLE College Prep Maryvale, LLC</t>
  </si>
  <si>
    <t>EAGLE College Prep Maryvale</t>
  </si>
  <si>
    <t>EAGLE College Prep Mesa, LLC.</t>
  </si>
  <si>
    <t>EAGLE College Preparatory School- Mesa</t>
  </si>
  <si>
    <t>EAGLE South Mountain Charter, Inc.</t>
  </si>
  <si>
    <t>EAGLE College Prep</t>
  </si>
  <si>
    <t>East Mesa Charter Elementary School, Inc.</t>
  </si>
  <si>
    <t>Imagine East Mesa Elementary</t>
  </si>
  <si>
    <t>Ed Ahead</t>
  </si>
  <si>
    <t>Academy Adventures Midtown</t>
  </si>
  <si>
    <t>Edison Project</t>
  </si>
  <si>
    <t>Edison School of Innovation</t>
  </si>
  <si>
    <t>Edkey, Inc. dba Sequoia Charter School</t>
  </si>
  <si>
    <t>AMCS at Anthem dba Caurus Academy</t>
  </si>
  <si>
    <t>American Heritage Academy - Camp Verde</t>
  </si>
  <si>
    <t>American Heritage Academy - Cottonwood</t>
  </si>
  <si>
    <t>Arizona Conservatory for Arts and Academics</t>
  </si>
  <si>
    <t>Arizona Conservatory for Arts and Academics Elementary School</t>
  </si>
  <si>
    <t>Children First Leadership Academy</t>
  </si>
  <si>
    <t>Edkey, Inc. - Sequoia Deaf School</t>
  </si>
  <si>
    <t>George Washington Academy</t>
  </si>
  <si>
    <t>KELLY</t>
  </si>
  <si>
    <t>Pathfinder Academy</t>
  </si>
  <si>
    <t>Sequoia Charter School</t>
  </si>
  <si>
    <t>Sequoia Lehi Charter School</t>
  </si>
  <si>
    <t>Sequoia Pathfinder Academy at Eastmark</t>
  </si>
  <si>
    <t>Sequoia Pathfinder Academy at Verrado Way and I-10</t>
  </si>
  <si>
    <t>Sequoia Pathway Academy</t>
  </si>
  <si>
    <t>Sequoia Village School</t>
  </si>
  <si>
    <t>Educational Impact, Inc.</t>
  </si>
  <si>
    <t>Adventure School</t>
  </si>
  <si>
    <t>Elfrida Elementary District</t>
  </si>
  <si>
    <t>Elfrida Elementary School</t>
  </si>
  <si>
    <t>Eloy Elementary District</t>
  </si>
  <si>
    <t>Curiel School</t>
  </si>
  <si>
    <t>Eloy Intermediate School</t>
  </si>
  <si>
    <t>Eloy Junior High School</t>
  </si>
  <si>
    <t>Empower College Prep</t>
  </si>
  <si>
    <t>Empower College Prep High School</t>
  </si>
  <si>
    <t>Espiritu Community Development Corp.</t>
  </si>
  <si>
    <t>NFL YET College Prep Academy</t>
  </si>
  <si>
    <t>Reyes Maria Ruiz Leadership Academy</t>
  </si>
  <si>
    <t>Espiritu Schools</t>
  </si>
  <si>
    <t>AIM Higher College Prep Academy</t>
  </si>
  <si>
    <t>Ethos Academy - A Challenge Foundation Academy</t>
  </si>
  <si>
    <t>Ethos Academy- A Challenge Foundation Academy</t>
  </si>
  <si>
    <t>Excalibur Charter Schools, Inc.</t>
  </si>
  <si>
    <t>Avalon Elementary</t>
  </si>
  <si>
    <t>First Mesa Elementary School</t>
  </si>
  <si>
    <t>First Mesa Elementary</t>
  </si>
  <si>
    <t>Fit Kids, Inc. dba Champion Schools</t>
  </si>
  <si>
    <t>Champion Chandler</t>
  </si>
  <si>
    <t>Champion San Tan</t>
  </si>
  <si>
    <t>Champion Schools</t>
  </si>
  <si>
    <t>Flagstaff Unified District</t>
  </si>
  <si>
    <t>Charles W Sechrist Elementary School</t>
  </si>
  <si>
    <t>Coconino High School</t>
  </si>
  <si>
    <t>Eva Marshall Elementary School</t>
  </si>
  <si>
    <t>Flagstaff High School</t>
  </si>
  <si>
    <t>John Q Thomas Elementary School</t>
  </si>
  <si>
    <t>Leupp Public School</t>
  </si>
  <si>
    <t>Lura Kinsey Elementary School</t>
  </si>
  <si>
    <t>Manuel DeMiguel Elementary School</t>
  </si>
  <si>
    <t>Mount Elden Middle School</t>
  </si>
  <si>
    <t>Northland Preparatory Academy</t>
  </si>
  <si>
    <t>Sinagua Middle School</t>
  </si>
  <si>
    <t>Sturgeon Cromer Elementary School</t>
  </si>
  <si>
    <t>Summit High School</t>
  </si>
  <si>
    <t>Thomas M Knoles Elementary School</t>
  </si>
  <si>
    <t>W F Killip Elementary School</t>
  </si>
  <si>
    <t>Weitzel's Puente de Hozho Bilingual Magnet School</t>
  </si>
  <si>
    <t>Florence Crittenton Service of Arizona, Inc.</t>
  </si>
  <si>
    <t>Florence Crittenton Services of Arizona - Therapeutic Group Home</t>
  </si>
  <si>
    <t>*</t>
  </si>
  <si>
    <t>Florence Unified School District</t>
  </si>
  <si>
    <t>Anthem Elementary School</t>
  </si>
  <si>
    <t>Circle Cross K8 STEM Academy</t>
  </si>
  <si>
    <t>Copper Basin</t>
  </si>
  <si>
    <t>Florence High School</t>
  </si>
  <si>
    <t>Florence K-8</t>
  </si>
  <si>
    <t>Magma Ranch K8 School</t>
  </si>
  <si>
    <t>Mountain Vista Academy</t>
  </si>
  <si>
    <t>Poston Butte High School</t>
  </si>
  <si>
    <t>San Tan Foothills High School</t>
  </si>
  <si>
    <t>San Tan Heights Elementary</t>
  </si>
  <si>
    <t>Skyline Ranch Elementary School</t>
  </si>
  <si>
    <t>Walker Butte K-8</t>
  </si>
  <si>
    <t>Flowing Wells Unified District</t>
  </si>
  <si>
    <t>Centennial Elementary School</t>
  </si>
  <si>
    <t>Douglas Elementary School</t>
  </si>
  <si>
    <t>Flowing Wells High School</t>
  </si>
  <si>
    <t>Flowing Wells Junior High School</t>
  </si>
  <si>
    <t>Homer Davis Elementary School</t>
  </si>
  <si>
    <t>J Robert Hendricks Elementary School</t>
  </si>
  <si>
    <t>Laguna Elementary School</t>
  </si>
  <si>
    <t>Robert Richardson Elementary School</t>
  </si>
  <si>
    <t>Sentinel Peak High School</t>
  </si>
  <si>
    <t>Fort Huachuca Accommodation District</t>
  </si>
  <si>
    <t>Colonel Johnston Elementary School</t>
  </si>
  <si>
    <t>Colonel Smith Middle School</t>
  </si>
  <si>
    <t>General Myer Elementary School</t>
  </si>
  <si>
    <t>Fort Thomas Unified District</t>
  </si>
  <si>
    <t>Fort Thomas Elementary School</t>
  </si>
  <si>
    <t>Fort Thomas High School</t>
  </si>
  <si>
    <t>Mt. Turnbull Academy</t>
  </si>
  <si>
    <t>Mt. Turnbull Elementary School</t>
  </si>
  <si>
    <t>Fountain Hills Unified District</t>
  </si>
  <si>
    <t>Fountain Hills High School</t>
  </si>
  <si>
    <t>Fountain Hills Middle School</t>
  </si>
  <si>
    <t>McDowell Mountain Elementary School</t>
  </si>
  <si>
    <t>Fowler Elementary District</t>
  </si>
  <si>
    <t>Fowler Elementary School</t>
  </si>
  <si>
    <t>Santa Maria Middle School</t>
  </si>
  <si>
    <t>Sun Canyon School</t>
  </si>
  <si>
    <t>Sunridge Elementary School</t>
  </si>
  <si>
    <t>Tuscano Elementary School</t>
  </si>
  <si>
    <t>Western Valley Elementary School</t>
  </si>
  <si>
    <t>Western Valley Middle School</t>
  </si>
  <si>
    <t>Franklin Phonetic Primary School, Inc.</t>
  </si>
  <si>
    <t>Franklin Phonetic Primary School</t>
  </si>
  <si>
    <t>Franklin Phonetic Primary School-Sunnyslope</t>
  </si>
  <si>
    <t>Fredonia-Moccasin Unified District</t>
  </si>
  <si>
    <t>Fredonia Elementary School</t>
  </si>
  <si>
    <t>Fredonia High School</t>
  </si>
  <si>
    <t>Friendly House, Inc.</t>
  </si>
  <si>
    <t>Friendly House Academia Del Pueblo Elem</t>
  </si>
  <si>
    <t>Gadsden Elementary District</t>
  </si>
  <si>
    <t>Arizona Desert Elementary School</t>
  </si>
  <si>
    <t>Cesar Chavez Elementary</t>
  </si>
  <si>
    <t>Desert View Elementary</t>
  </si>
  <si>
    <t>Ed Pastor Elementary 4</t>
  </si>
  <si>
    <t>Gadsden Elementary School</t>
  </si>
  <si>
    <t>Rio Colorado Elementary School</t>
  </si>
  <si>
    <t>San Luis Middle School</t>
  </si>
  <si>
    <t>Southwest Jr. High School</t>
  </si>
  <si>
    <t>Ganado Unified School District</t>
  </si>
  <si>
    <t>Ganado High School</t>
  </si>
  <si>
    <t>Ganado Intermediate School</t>
  </si>
  <si>
    <t>Ganado Middle School</t>
  </si>
  <si>
    <t>Ganado Primary School</t>
  </si>
  <si>
    <t>Gap Ministries</t>
  </si>
  <si>
    <t>Splash 11</t>
  </si>
  <si>
    <t>Splash House 1</t>
  </si>
  <si>
    <t>Splash House 6</t>
  </si>
  <si>
    <t>Splash House 9</t>
  </si>
  <si>
    <t>George Gervin Youth Center, Inc.</t>
  </si>
  <si>
    <t>George Gervin Prep Academy</t>
  </si>
  <si>
    <t>Gila Bend Unified District</t>
  </si>
  <si>
    <t>Gila Bend Elementary</t>
  </si>
  <si>
    <t>Gila Bend High School</t>
  </si>
  <si>
    <t>Gila Crossing Community School</t>
  </si>
  <si>
    <t>Gilbert Unified District</t>
  </si>
  <si>
    <t>Ashland Elementary</t>
  </si>
  <si>
    <t>Augusta Ranch Elementary</t>
  </si>
  <si>
    <t>Boulder Creek Elementary</t>
  </si>
  <si>
    <t>Burk Elementary School</t>
  </si>
  <si>
    <t>Campo Verde High School</t>
  </si>
  <si>
    <t>Canyon Rim Elementary</t>
  </si>
  <si>
    <t>Carol Rae Ranch Elementary</t>
  </si>
  <si>
    <t>Desert Ridge High</t>
  </si>
  <si>
    <t>Desert Ridge Jr. High</t>
  </si>
  <si>
    <t>Finley Farms Elementary</t>
  </si>
  <si>
    <t>Gilbert Classical Academy Jr.</t>
  </si>
  <si>
    <t>Gilbert Elementary School</t>
  </si>
  <si>
    <t>Gilbert High School</t>
  </si>
  <si>
    <t>Greenfield Elementary School</t>
  </si>
  <si>
    <t>Greenfield Junior High School</t>
  </si>
  <si>
    <t>Harris Elementary School</t>
  </si>
  <si>
    <t>Highland High School</t>
  </si>
  <si>
    <t>Highland Jr High School</t>
  </si>
  <si>
    <t>Highland Park Elementary</t>
  </si>
  <si>
    <t>Islands Elementary School</t>
  </si>
  <si>
    <t>Meridian</t>
  </si>
  <si>
    <t>Mesquite High School</t>
  </si>
  <si>
    <t>Mesquite Jr High School</t>
  </si>
  <si>
    <t>Neely Traditional Academy</t>
  </si>
  <si>
    <t>Oak Tree Elementary</t>
  </si>
  <si>
    <t>Patterson Elementary School</t>
  </si>
  <si>
    <t>Pioneer Elementary School</t>
  </si>
  <si>
    <t>Playa del Rey Elementary School</t>
  </si>
  <si>
    <t>Quartz Hill Elementary</t>
  </si>
  <si>
    <t>Settlers Point Elementary</t>
  </si>
  <si>
    <t>Sonoma Ranch Elementary School</t>
  </si>
  <si>
    <t>South Valley Jr. High</t>
  </si>
  <si>
    <t>Spectrum Elementary</t>
  </si>
  <si>
    <t>Superstition Springs Elementary</t>
  </si>
  <si>
    <t>Towne Meadows Elementary School</t>
  </si>
  <si>
    <t>Val Vista Lakes Elementary School</t>
  </si>
  <si>
    <t>Glendale Elementary District</t>
  </si>
  <si>
    <t>Bicentennial South School</t>
  </si>
  <si>
    <t>Challenger Middle School</t>
  </si>
  <si>
    <t>Desert Garden Elementary School</t>
  </si>
  <si>
    <t>Desert Spirit</t>
  </si>
  <si>
    <t>Discovery School</t>
  </si>
  <si>
    <t>Don Mensendick School</t>
  </si>
  <si>
    <t>Glendale American School</t>
  </si>
  <si>
    <t>Glendale Landmark School</t>
  </si>
  <si>
    <t>Glenn F Burton School</t>
  </si>
  <si>
    <t>Harold W Smith School</t>
  </si>
  <si>
    <t>Horizon School</t>
  </si>
  <si>
    <t>Sunset Vista</t>
  </si>
  <si>
    <t>The Childrens Center for Neurodevelopmental Studies</t>
  </si>
  <si>
    <t>William C Jack School</t>
  </si>
  <si>
    <t>Glendale Union High School District</t>
  </si>
  <si>
    <t>Apollo High School</t>
  </si>
  <si>
    <t>Cortez High School</t>
  </si>
  <si>
    <t>Glendale High School</t>
  </si>
  <si>
    <t>Glendale Union High School District Online Learning Academy</t>
  </si>
  <si>
    <t>Greenway High School</t>
  </si>
  <si>
    <t>Independence High School</t>
  </si>
  <si>
    <t>Moon Valley High School</t>
  </si>
  <si>
    <t>Sunnyslope High School</t>
  </si>
  <si>
    <t>Thunderbird High School</t>
  </si>
  <si>
    <t>Washington High School</t>
  </si>
  <si>
    <t>Globe Unified District</t>
  </si>
  <si>
    <t>Copper Rim Elementary School</t>
  </si>
  <si>
    <t>Globe High School</t>
  </si>
  <si>
    <t>High Desert Middle School</t>
  </si>
  <si>
    <t>Grand Canyon Unified District</t>
  </si>
  <si>
    <t>Grand Canyon Elementary</t>
  </si>
  <si>
    <t>Grand Canyon High School</t>
  </si>
  <si>
    <t>Greyhills Academy</t>
  </si>
  <si>
    <t>Greyhills Academy High School</t>
  </si>
  <si>
    <t>Griffin Foundation, Inc. The</t>
  </si>
  <si>
    <t>Children Reaching for the Sky Preparatory</t>
  </si>
  <si>
    <t>Future Investment Middle School</t>
  </si>
  <si>
    <t>Hackberry School District</t>
  </si>
  <si>
    <t>Cedar Hills School</t>
  </si>
  <si>
    <t>Happy Valley East</t>
  </si>
  <si>
    <t>Happy Valley School East Campus</t>
  </si>
  <si>
    <t>Happy Valley School, Inc.</t>
  </si>
  <si>
    <t>Burke Basic School</t>
  </si>
  <si>
    <t>Happy Valley School</t>
  </si>
  <si>
    <t>Harvest Power Community Development Group, Inc.</t>
  </si>
  <si>
    <t>Harvest Preparatory Academy</t>
  </si>
  <si>
    <t>Harvest Preparatory Academy, San Luis AZ</t>
  </si>
  <si>
    <t>Havasupai Elementary School</t>
  </si>
  <si>
    <t>Hayden-Winkelman Unified District</t>
  </si>
  <si>
    <t>Hayden High School</t>
  </si>
  <si>
    <t>Leonor Hambly K-8</t>
  </si>
  <si>
    <t>Heber-Overgaard Unified District</t>
  </si>
  <si>
    <t>Capps Elementary School</t>
  </si>
  <si>
    <t>Mogollon High School</t>
  </si>
  <si>
    <t>Mountain Meadows Primary</t>
  </si>
  <si>
    <t>Heritage Elementary School</t>
  </si>
  <si>
    <t>Heritage Elementary - Williams</t>
  </si>
  <si>
    <t>La Paloma Academy Marana</t>
  </si>
  <si>
    <t>Liberty Traditional Charter School</t>
  </si>
  <si>
    <t>Liberty Traditional Charter School - Saddleback</t>
  </si>
  <si>
    <t>Highland Prep</t>
  </si>
  <si>
    <t>Highland Prep West</t>
  </si>
  <si>
    <t>Higley Unified School District</t>
  </si>
  <si>
    <t>Bridges Elementary School</t>
  </si>
  <si>
    <t>Chaparral Elementary School</t>
  </si>
  <si>
    <t>Cooley Middle School</t>
  </si>
  <si>
    <t>Coronado Elementary School</t>
  </si>
  <si>
    <t>Cortina Elementary</t>
  </si>
  <si>
    <t>Elona P. Cooley Early Child Development Center</t>
  </si>
  <si>
    <t>Gateway Pointe Elementary</t>
  </si>
  <si>
    <t>Higley High School</t>
  </si>
  <si>
    <t>Higley Traditional Academy</t>
  </si>
  <si>
    <t>Power Ranch Elementary</t>
  </si>
  <si>
    <t>San Tan Elementary</t>
  </si>
  <si>
    <t>Sossaman Middle School</t>
  </si>
  <si>
    <t>Sue Sossaman Early Childhood Development Center</t>
  </si>
  <si>
    <t>Williams Field High School</t>
  </si>
  <si>
    <t>Hirsch Academy A Challenge Foundation</t>
  </si>
  <si>
    <t>Holbrook Unified District</t>
  </si>
  <si>
    <t>Holbrook High School</t>
  </si>
  <si>
    <t>Holbrook Junior High School</t>
  </si>
  <si>
    <t>Hulet Elementary School</t>
  </si>
  <si>
    <t>Indian Wells Elementary</t>
  </si>
  <si>
    <t>Navajo County Instruction for Success (NCIS)</t>
  </si>
  <si>
    <t>Park Elementary School</t>
  </si>
  <si>
    <t>Hopi Day School</t>
  </si>
  <si>
    <t>Hopi Jr/Sr High School</t>
  </si>
  <si>
    <t>Hopi Jr. / Sr. High School</t>
  </si>
  <si>
    <t>Humboldt Unified District</t>
  </si>
  <si>
    <t>Bradshaw Mountain High School</t>
  </si>
  <si>
    <t>Bradshaw Mountain Middle School</t>
  </si>
  <si>
    <t>Coyote Springs Elementary School</t>
  </si>
  <si>
    <t>Glassford Hill Middle School</t>
  </si>
  <si>
    <t>Granville Elementary School</t>
  </si>
  <si>
    <t>Humboldt Elementary School</t>
  </si>
  <si>
    <t>Lake Valley Elementary School</t>
  </si>
  <si>
    <t>Liberty Traditional School</t>
  </si>
  <si>
    <t>Mountain View Elementary School</t>
  </si>
  <si>
    <t>Hunters Point Boarding School</t>
  </si>
  <si>
    <t>Hyder Elementary District</t>
  </si>
  <si>
    <t>Dateland Elementary School</t>
  </si>
  <si>
    <t>Imagine Avondale Elementary, Inc.</t>
  </si>
  <si>
    <t>Imagine Avondale Elementary</t>
  </si>
  <si>
    <t>Imagine Avondale Middle, Inc.</t>
  </si>
  <si>
    <t>Imagine Avondale Middle</t>
  </si>
  <si>
    <t>Imagine Camelback Middle, Inc.</t>
  </si>
  <si>
    <t>Imagine Camelback Middle</t>
  </si>
  <si>
    <t>Imagine Charter Elementary at Camelback, Inc.</t>
  </si>
  <si>
    <t>Imagine Camelback Elementary</t>
  </si>
  <si>
    <t>Imagine Charter Elementary at Desert West, Inc.</t>
  </si>
  <si>
    <t>Imagine Desert West Elementary</t>
  </si>
  <si>
    <t>Imagine Coolidge Elementary, Inc.</t>
  </si>
  <si>
    <t>Imagine Coolidge Elementary</t>
  </si>
  <si>
    <t>Imagine Desert West Middle, Inc.</t>
  </si>
  <si>
    <t>Imagine Desert West Middle</t>
  </si>
  <si>
    <t>Imagine Middle at East Mesa, Inc.</t>
  </si>
  <si>
    <t>Imagine East Mesa Middle</t>
  </si>
  <si>
    <t>Imagine Middle at Surprise, Inc.</t>
  </si>
  <si>
    <t>Imagine Surprise Middle</t>
  </si>
  <si>
    <t>Imagine Prep Coolidge, Inc.</t>
  </si>
  <si>
    <t>Imagine Prep Coolidge</t>
  </si>
  <si>
    <t>Imagine Prep Superstition, Inc.</t>
  </si>
  <si>
    <t>Imagine Prep Superstition</t>
  </si>
  <si>
    <t>Imagine Prep Surprise, Inc.</t>
  </si>
  <si>
    <t>Imagine Prep Surprise</t>
  </si>
  <si>
    <t>Imagine Superstition Middle, Inc.</t>
  </si>
  <si>
    <t>Imagine Superstition Middle</t>
  </si>
  <si>
    <t>Immaculate Conception School</t>
  </si>
  <si>
    <t>Incito Schools</t>
  </si>
  <si>
    <t>Intermountain Centers for Human Development</t>
  </si>
  <si>
    <t>Intermountain Academy</t>
  </si>
  <si>
    <t>Isaac Elementary District</t>
  </si>
  <si>
    <t>Alta E Butler School</t>
  </si>
  <si>
    <t>Isaac Middle School</t>
  </si>
  <si>
    <t>J B Sutton Elementary School</t>
  </si>
  <si>
    <t>Joseph Zito Elementary School</t>
  </si>
  <si>
    <t>Mitchell Elementary School</t>
  </si>
  <si>
    <t>Morris K. Udall Escuela de Bellas Artes</t>
  </si>
  <si>
    <t>Moya Elementary</t>
  </si>
  <si>
    <t>P T Coe Elementary School</t>
  </si>
  <si>
    <t>Pueblo Del Sol Middle School</t>
  </si>
  <si>
    <t>J O Combs Unified School District</t>
  </si>
  <si>
    <t>Combs Center for Success High School</t>
  </si>
  <si>
    <t>Combs High School</t>
  </si>
  <si>
    <t>Combs Traditional Academy</t>
  </si>
  <si>
    <t>Ellsworth Elementary School</t>
  </si>
  <si>
    <t>J. O. Combs Middle School</t>
  </si>
  <si>
    <t>Jack Harmon Elementary School</t>
  </si>
  <si>
    <t>Kathryn Sue Simonton Elementary</t>
  </si>
  <si>
    <t>Ranch Elementary School</t>
  </si>
  <si>
    <t>Jeehdeez'a Elementary</t>
  </si>
  <si>
    <t>John F. Kennedy Day School</t>
  </si>
  <si>
    <t>Joseph City Unified District</t>
  </si>
  <si>
    <t>Joseph City Elementary School</t>
  </si>
  <si>
    <t>Joseph City High School</t>
  </si>
  <si>
    <t>Kaibeto Boarding School</t>
  </si>
  <si>
    <t>Kaizen Education Foundation dba Advance U</t>
  </si>
  <si>
    <t>Advance U</t>
  </si>
  <si>
    <t>Kaizen Education Foundation dba Colegio Petite Phoenix</t>
  </si>
  <si>
    <t>Colegio Petite Arizona</t>
  </si>
  <si>
    <t>Kaizen Education Foundation dba Discover U Elementary School</t>
  </si>
  <si>
    <t>Discover U</t>
  </si>
  <si>
    <t>Kaizen Education Foundation dba El Dorado High School</t>
  </si>
  <si>
    <t>Glenview College Preparatory High School</t>
  </si>
  <si>
    <t>Kaizen Education Foundation dba Gilbert Arts Academy</t>
  </si>
  <si>
    <t>Kaizen Education Foundation dba Havasu Preparatory Academy</t>
  </si>
  <si>
    <t>Havasu Preparatory Academy</t>
  </si>
  <si>
    <t>Kaizen Education Foundation dba Liberty Arts Academy</t>
  </si>
  <si>
    <t>Liberty Arts Academy</t>
  </si>
  <si>
    <t>Kaizen Education Foundation dba Maya High School</t>
  </si>
  <si>
    <t>Kaizen Education Foundation dba Mission Heights Preparatory High School</t>
  </si>
  <si>
    <t>Mission Heights Preparatory High School</t>
  </si>
  <si>
    <t>Kaizen Education Foundation dba Skyview High School</t>
  </si>
  <si>
    <t>Skyview High School</t>
  </si>
  <si>
    <t>Kaizen Education Foundation dba South Pointe Elementary School</t>
  </si>
  <si>
    <t>Kaizen Education Foundation dba South Pointe Junior High School</t>
  </si>
  <si>
    <t>South Pointe Junior High School</t>
  </si>
  <si>
    <t>Kaizen Education Foundation dba Summit High School</t>
  </si>
  <si>
    <t>Kaizen Education Foundation dba Tempe Accelerated High School</t>
  </si>
  <si>
    <t>Kaizen Education Foundation dba Quest High School</t>
  </si>
  <si>
    <t>Kaizen Education Foundation dba Vista Grove Preparatory Academy Elementary</t>
  </si>
  <si>
    <t>Kaizen Education Foundation dba Vista Grove Preparatory Academy Middle School</t>
  </si>
  <si>
    <t>Vista Grove Preparatory Academy Middle School</t>
  </si>
  <si>
    <t>Kayenta Boarding School</t>
  </si>
  <si>
    <t>Kayenta Community School</t>
  </si>
  <si>
    <t>Kayenta Unified School District #27</t>
  </si>
  <si>
    <t>Baker Middle School</t>
  </si>
  <si>
    <t>Debbie Braff Elementary School</t>
  </si>
  <si>
    <t>Monument Valley High School</t>
  </si>
  <si>
    <t>Keams Canyon Elementary School</t>
  </si>
  <si>
    <t>Keams Canyon Elementary</t>
  </si>
  <si>
    <t>Kin Dah Lichii Olta, Inc.</t>
  </si>
  <si>
    <t>Kin Dah Lichi'i Olta</t>
  </si>
  <si>
    <t>Kingman Unified School District</t>
  </si>
  <si>
    <t>Cerbat Elementary</t>
  </si>
  <si>
    <t>Hualapai Elementary</t>
  </si>
  <si>
    <t>Kingman High School</t>
  </si>
  <si>
    <t>Kingman Middle School</t>
  </si>
  <si>
    <t>La Senita Elementary</t>
  </si>
  <si>
    <t>Lee Williams High School</t>
  </si>
  <si>
    <t>Manzanita Elementary</t>
  </si>
  <si>
    <t>Mt Tipton Elementary School</t>
  </si>
  <si>
    <t>White Cliffs Middle School</t>
  </si>
  <si>
    <t>Kirkland Elementary District</t>
  </si>
  <si>
    <t>Kirkland Elementary School</t>
  </si>
  <si>
    <t>Kyrene Elementary District</t>
  </si>
  <si>
    <t>C I Waggoner School</t>
  </si>
  <si>
    <t>Kyrene Akimel A-Al Middle School</t>
  </si>
  <si>
    <t>Kyrene Altadena Middle School</t>
  </si>
  <si>
    <t>Kyrene Aprende Middle School</t>
  </si>
  <si>
    <t>Kyrene Centennial Middle School</t>
  </si>
  <si>
    <t>Kyrene de la Colina School</t>
  </si>
  <si>
    <t>Kyrene de la Esperanza School</t>
  </si>
  <si>
    <t>Kyrene de la Estrella Elementary School</t>
  </si>
  <si>
    <t>Kyrene de la Mariposa School</t>
  </si>
  <si>
    <t>Kyrene de la Mirada School</t>
  </si>
  <si>
    <t>Kyrene de la Paloma School</t>
  </si>
  <si>
    <t>Kyrene de la Sierra School</t>
  </si>
  <si>
    <t>Kyrene de las Brisas School</t>
  </si>
  <si>
    <t>Kyrene de las Lomas School</t>
  </si>
  <si>
    <t>Kyrene de las Manitas School</t>
  </si>
  <si>
    <t>Kyrene de los Cerritos School</t>
  </si>
  <si>
    <t>Kyrene De Los Lagos School</t>
  </si>
  <si>
    <t>Kyrene de los Ninos School</t>
  </si>
  <si>
    <t>Kyrene del Cielo School</t>
  </si>
  <si>
    <t>Kyrene del Milenio</t>
  </si>
  <si>
    <t>Kyrene del Norte School</t>
  </si>
  <si>
    <t>Kyrene del Pueblo Middle School</t>
  </si>
  <si>
    <t>Kyrene Middle School</t>
  </si>
  <si>
    <t>Kyrene Monte Vista School</t>
  </si>
  <si>
    <t>Kyrene Traditional Academy</t>
  </si>
  <si>
    <t>The ACES - Gilbert Campus</t>
  </si>
  <si>
    <t>The ACES - Tempe Campus</t>
  </si>
  <si>
    <t>LA PALOMA FAMILY SERVICES, INC.</t>
  </si>
  <si>
    <t>Amparo</t>
  </si>
  <si>
    <t>Lake Havasu Unified District</t>
  </si>
  <si>
    <t>Jamaica Elementary School</t>
  </si>
  <si>
    <t>Lake Havasu High School</t>
  </si>
  <si>
    <t>Nautilus Elementary School</t>
  </si>
  <si>
    <t>Oro Grande Classical Academy</t>
  </si>
  <si>
    <t>Smoketree Elementary School</t>
  </si>
  <si>
    <t>Starline Elementary School</t>
  </si>
  <si>
    <t>Thunderbolt Middle School</t>
  </si>
  <si>
    <t>Laveen Elementary District</t>
  </si>
  <si>
    <t>Cheatham Elementary School</t>
  </si>
  <si>
    <t>Desert Meadows Elementary School</t>
  </si>
  <si>
    <t>Estrella Foothills Global Academy</t>
  </si>
  <si>
    <t>Laveen Elementary School</t>
  </si>
  <si>
    <t>Maurice C. Cash Elementary School</t>
  </si>
  <si>
    <t>Paseo Pointe Dual Language Academy</t>
  </si>
  <si>
    <t>Rogers Ranch STEM Academy</t>
  </si>
  <si>
    <t>Trailside Point Performing Arts Academy</t>
  </si>
  <si>
    <t>Vista del Sur Accelerated</t>
  </si>
  <si>
    <t>LEAD Charter Schools</t>
  </si>
  <si>
    <t>Leading Edge Academy at East Mesa</t>
  </si>
  <si>
    <t>Leading Edge Academy Gilbert Early College</t>
  </si>
  <si>
    <t>Leading Edge Academy Gilbert Elementary</t>
  </si>
  <si>
    <t>Leading Edge Academy Maricopa</t>
  </si>
  <si>
    <t>Leading Edge Academy Queen Creek</t>
  </si>
  <si>
    <t>Leading Edge Academy Mountain View</t>
  </si>
  <si>
    <t>Legacy Education Group</t>
  </si>
  <si>
    <t>East Valley High School</t>
  </si>
  <si>
    <t>Legacy Traditional School - North Chandler</t>
  </si>
  <si>
    <t>Legacy Traditional School - Avondale</t>
  </si>
  <si>
    <t>Legacy Traditional School - Casa Grande</t>
  </si>
  <si>
    <t>Legacy Traditional School - Chandler</t>
  </si>
  <si>
    <t>Legacy Traditional School - Deer Valley</t>
  </si>
  <si>
    <t>Legacy Traditional School - East Mesa</t>
  </si>
  <si>
    <t>Legacy Traditional School - East Tucson</t>
  </si>
  <si>
    <t>Legacy Traditional School - Gilbert</t>
  </si>
  <si>
    <t>Legacy Traditional School - Glendale</t>
  </si>
  <si>
    <t>Legacy Traditional School - Goodyear</t>
  </si>
  <si>
    <t>Legacy Traditional School - Laveen Village</t>
  </si>
  <si>
    <t>Legacy Traditional School - Maricopa</t>
  </si>
  <si>
    <t>Legacy Traditional School - Mesa</t>
  </si>
  <si>
    <t>Legacy Traditional School - North Phoenix</t>
  </si>
  <si>
    <t>Legacy Traditional School - Northwest Tucson</t>
  </si>
  <si>
    <t>Legacy Traditional School - Peoria</t>
  </si>
  <si>
    <t>Legacy Traditional School - Phoenix</t>
  </si>
  <si>
    <t>Legacy Traditional School - Queen Creek</t>
  </si>
  <si>
    <t>Legacy Traditional School - Surprise</t>
  </si>
  <si>
    <t>Legacy Traditional School - West Surprise</t>
  </si>
  <si>
    <t>Legacy Traditional-San Tan</t>
  </si>
  <si>
    <t>Leupp Schools Inc.</t>
  </si>
  <si>
    <t>Leupp Schools</t>
  </si>
  <si>
    <t>Liberty Elementary District</t>
  </si>
  <si>
    <t>Blue Horizons Elementary School</t>
  </si>
  <si>
    <t>Estrella Mountain Elementary School</t>
  </si>
  <si>
    <t>Freedom Elementary School</t>
  </si>
  <si>
    <t>Las Brisas Academy</t>
  </si>
  <si>
    <t>Liberty Elementary School</t>
  </si>
  <si>
    <t>Rainbow Valley Elementary School</t>
  </si>
  <si>
    <t>Westar Elementary School</t>
  </si>
  <si>
    <t>Litchfield Elementary District</t>
  </si>
  <si>
    <t>Barbara B. Robey Elementary School</t>
  </si>
  <si>
    <t>Belen Soto Elementary School</t>
  </si>
  <si>
    <t>Corte Sierra Elementary School</t>
  </si>
  <si>
    <t>Dreaming Summit Elementary</t>
  </si>
  <si>
    <t>L. Thomas Heck Middle School</t>
  </si>
  <si>
    <t>Litchfield Elementary School</t>
  </si>
  <si>
    <t>Mabel Padgett Elementary School</t>
  </si>
  <si>
    <t>Palm Valley Elementary</t>
  </si>
  <si>
    <t>Rancho Santa Fe Elementary School</t>
  </si>
  <si>
    <t>Scott L Libby Elementary School</t>
  </si>
  <si>
    <t>Verrado Elementary School</t>
  </si>
  <si>
    <t>Verrado Heritage Elementary School</t>
  </si>
  <si>
    <t>Verrado Middle School</t>
  </si>
  <si>
    <t>Western Sky Middle School</t>
  </si>
  <si>
    <t>White Tanks Learning Center</t>
  </si>
  <si>
    <t>Wigwam Creek Middle School</t>
  </si>
  <si>
    <t>Little Singer Community School Board, Inc.</t>
  </si>
  <si>
    <t>Little Singer Community School</t>
  </si>
  <si>
    <t>Littlefield Unified District</t>
  </si>
  <si>
    <t>Beaver Dam Elementary</t>
  </si>
  <si>
    <t>Beaver Dam High School</t>
  </si>
  <si>
    <t>Littleton Elementary District</t>
  </si>
  <si>
    <t>Collier Elementary School</t>
  </si>
  <si>
    <t>Country Place Elementary</t>
  </si>
  <si>
    <t>Estrella Vista Elementary School</t>
  </si>
  <si>
    <t>Fine Arts Academy</t>
  </si>
  <si>
    <t>Lakin Prep Academy</t>
  </si>
  <si>
    <t>Littleton Elementary School</t>
  </si>
  <si>
    <t>Quentin Elementary School</t>
  </si>
  <si>
    <t>The ACES - Peoria Campus</t>
  </si>
  <si>
    <t>The ACES - Phoenix West Campus</t>
  </si>
  <si>
    <t>Tres Rios Elementary School</t>
  </si>
  <si>
    <t>Loretto School</t>
  </si>
  <si>
    <t>Lourdes Catholic School</t>
  </si>
  <si>
    <t>Madison Elementary District</t>
  </si>
  <si>
    <t>Madison #1 Elementary School</t>
  </si>
  <si>
    <t>Madison Camelview Elementary</t>
  </si>
  <si>
    <t>Madison Heights Elementary School</t>
  </si>
  <si>
    <t>Madison Highland Prep</t>
  </si>
  <si>
    <t>Madison Meadows School</t>
  </si>
  <si>
    <t>Madison Park School</t>
  </si>
  <si>
    <t>Madison Richard Simis School</t>
  </si>
  <si>
    <t>Madison Rose Lane School</t>
  </si>
  <si>
    <t>Madison Traditional Academy</t>
  </si>
  <si>
    <t>Maine Consolidated School District</t>
  </si>
  <si>
    <t>Maine Consolidated School</t>
  </si>
  <si>
    <t>Mammoth-San Manuel Unified District</t>
  </si>
  <si>
    <t>San Manuel High School</t>
  </si>
  <si>
    <t>Many Farms Community School, Inc</t>
  </si>
  <si>
    <t>Many Farms Community School</t>
  </si>
  <si>
    <t>Many Farms High School</t>
  </si>
  <si>
    <t>Marana Unified District</t>
  </si>
  <si>
    <t>Butterfield Elementary School</t>
  </si>
  <si>
    <t>Coyote Trail Elementary School</t>
  </si>
  <si>
    <t>Degrazia Elementary School</t>
  </si>
  <si>
    <t>Dove Mountain K-8</t>
  </si>
  <si>
    <t>Gladden Farms Elementary</t>
  </si>
  <si>
    <t>Ironwood Elementary School</t>
  </si>
  <si>
    <t>Marana High School</t>
  </si>
  <si>
    <t>Marana Middle School</t>
  </si>
  <si>
    <t>Marjorie W Estes Elementary School</t>
  </si>
  <si>
    <t>Mountain View High School</t>
  </si>
  <si>
    <t>Picture Rocks Elementary</t>
  </si>
  <si>
    <t>Quail Run Elementary School</t>
  </si>
  <si>
    <t>Rattlesnake Ridge Elementary</t>
  </si>
  <si>
    <t>Roadrunner Elementary School</t>
  </si>
  <si>
    <t>Tortolita Middle School</t>
  </si>
  <si>
    <t>Twin Peaks Elementary School</t>
  </si>
  <si>
    <t>Maricopa County Community College District dba Gateway Early College High School</t>
  </si>
  <si>
    <t>Gateway Early College High School</t>
  </si>
  <si>
    <t>Maricopa County Regional School District</t>
  </si>
  <si>
    <t>Hope College and Career Readiness Academy</t>
  </si>
  <si>
    <t>Maricopa Juvenile Court Center</t>
  </si>
  <si>
    <t>Durango Juvenile Detention Facility</t>
  </si>
  <si>
    <t>Maricopa Unified School District</t>
  </si>
  <si>
    <t>Desert Sunrise High School</t>
  </si>
  <si>
    <t>Desert Wind Middle School</t>
  </si>
  <si>
    <t>Maricopa Elementary School</t>
  </si>
  <si>
    <t>Maricopa High School</t>
  </si>
  <si>
    <t>Maricopa Wells Middle School</t>
  </si>
  <si>
    <t>Pima Butte Elementary School</t>
  </si>
  <si>
    <t>Saddleback Elementary School</t>
  </si>
  <si>
    <t>Santa Cruz Elementary School</t>
  </si>
  <si>
    <t>Santa Rosa Elementary School</t>
  </si>
  <si>
    <t>Mary C O'Brien Accommodation District</t>
  </si>
  <si>
    <t>Mary C  O'Brien Elementary School</t>
  </si>
  <si>
    <t xml:space="preserve">Provision 3 </t>
  </si>
  <si>
    <t>Villa Oasis Interscholastic Center For Education (voice)</t>
  </si>
  <si>
    <t>Maryvale Preparatory Academy</t>
  </si>
  <si>
    <t>Great Hearts Academies - Maryvale Prep</t>
  </si>
  <si>
    <t>Math and Science Success Academy, Inc.</t>
  </si>
  <si>
    <t>Math and Science Success Academy</t>
  </si>
  <si>
    <t>Mayer Unified School District</t>
  </si>
  <si>
    <t>Mayer Elementary School</t>
  </si>
  <si>
    <t>Mayer High School</t>
  </si>
  <si>
    <t>MCCCD on behalf of Phoenix College Preparatory Academy</t>
  </si>
  <si>
    <t>Phoenix College Preparatory Academy</t>
  </si>
  <si>
    <t>Mcnary Elementary District</t>
  </si>
  <si>
    <t>Mcnary Elementary School</t>
  </si>
  <si>
    <t>McNeal Elementary District</t>
  </si>
  <si>
    <t>Mcneal Elementary School</t>
  </si>
  <si>
    <t>Mesa Unified District</t>
  </si>
  <si>
    <t>Adams Elementary School</t>
  </si>
  <si>
    <t>Brinton Elementary</t>
  </si>
  <si>
    <t>Bush Elementary</t>
  </si>
  <si>
    <t>Carson Junior  High School</t>
  </si>
  <si>
    <t>Crismon Elementary School</t>
  </si>
  <si>
    <t>Crossroads at East Valley Academy</t>
  </si>
  <si>
    <t>Dobson High School</t>
  </si>
  <si>
    <t>Eagleridge Enrichment Program</t>
  </si>
  <si>
    <t>East Valley Academy</t>
  </si>
  <si>
    <t>Edison Elementary School</t>
  </si>
  <si>
    <t>Eisenhower Center for Innovation</t>
  </si>
  <si>
    <t>Emerson Elementary School</t>
  </si>
  <si>
    <t>Entz Elementary School</t>
  </si>
  <si>
    <t>Falcon Hill Elementary School</t>
  </si>
  <si>
    <t>Field Elementary School</t>
  </si>
  <si>
    <t>Franklin Accelerated Academy - Brimhall Campus</t>
  </si>
  <si>
    <t>Franklin Accelerated Academy - Downtown Campus</t>
  </si>
  <si>
    <t>Franklin Accelerated Academy - East Campus</t>
  </si>
  <si>
    <t>Franklin Accelerated Academy - Jordan Campus</t>
  </si>
  <si>
    <t>Franklin Junior High School</t>
  </si>
  <si>
    <t>Fremont Junior High School</t>
  </si>
  <si>
    <t>Guerrero Elementary School</t>
  </si>
  <si>
    <t>Hale Elementary School</t>
  </si>
  <si>
    <t>Hermosa Vista Elementary School</t>
  </si>
  <si>
    <t>Highland Arts Elementary</t>
  </si>
  <si>
    <t>Holmes Elementary School</t>
  </si>
  <si>
    <t>Irving Elementary School</t>
  </si>
  <si>
    <t>Ishikawa Elementary School</t>
  </si>
  <si>
    <t>Jefferson Elementary School</t>
  </si>
  <si>
    <t>Johnson Elementary School</t>
  </si>
  <si>
    <t>K-8 STEM Academy at Red Mountain Ranch</t>
  </si>
  <si>
    <t>Keller Elementary School</t>
  </si>
  <si>
    <t>Kerr Center for Agriscience</t>
  </si>
  <si>
    <t>Kino Junior High School</t>
  </si>
  <si>
    <t>Las Sendas Elementary School</t>
  </si>
  <si>
    <t>Lehi Elementary School</t>
  </si>
  <si>
    <t>Lincoln Elementary School</t>
  </si>
  <si>
    <t>Lindbergh Elementary School</t>
  </si>
  <si>
    <t>Longfellow Elementary School</t>
  </si>
  <si>
    <t>Lowell Elementary School</t>
  </si>
  <si>
    <t>MacArthur Elementary School</t>
  </si>
  <si>
    <t>Madison Elementary School</t>
  </si>
  <si>
    <t>Mendoza Elementary School</t>
  </si>
  <si>
    <t>Mesa Academy for Advanced Studies</t>
  </si>
  <si>
    <t>Mesa Center for Success (Closed/Duplicate USE Entity Id: 92351)</t>
  </si>
  <si>
    <t>Mesa High School</t>
  </si>
  <si>
    <t>Michael T. Hughes Elementary School</t>
  </si>
  <si>
    <t>O'Connor Elementary School</t>
  </si>
  <si>
    <t>Patterson Elementary</t>
  </si>
  <si>
    <t>Pomeroy Elementary School</t>
  </si>
  <si>
    <t>Porter Elementary School</t>
  </si>
  <si>
    <t>Poston Junior High School</t>
  </si>
  <si>
    <t>Red Mountain High School</t>
  </si>
  <si>
    <t>Redbird Elementary School</t>
  </si>
  <si>
    <t>Rhodes Junior High School</t>
  </si>
  <si>
    <t>Robson Elementary School</t>
  </si>
  <si>
    <t>Roosevelt Elementary School</t>
  </si>
  <si>
    <t>S H A R P</t>
  </si>
  <si>
    <t>Salk Elementary School</t>
  </si>
  <si>
    <t>Shepherd Junior High School</t>
  </si>
  <si>
    <t>Sirrine Montessori Center</t>
  </si>
  <si>
    <t>Skyline High School</t>
  </si>
  <si>
    <t>Smith Junior High School</t>
  </si>
  <si>
    <t>Sousa Elementary School</t>
  </si>
  <si>
    <t>Stapley Junior High School</t>
  </si>
  <si>
    <t>Summit Academy</t>
  </si>
  <si>
    <t>Superstition High School</t>
  </si>
  <si>
    <t>Taft Elementary School</t>
  </si>
  <si>
    <t>Taylor Junior High School</t>
  </si>
  <si>
    <t>Washington Elementary School</t>
  </si>
  <si>
    <t>Webster Elementary School</t>
  </si>
  <si>
    <t>Westwood High School</t>
  </si>
  <si>
    <t>Whitman Elementary School</t>
  </si>
  <si>
    <t>Whittier Elementary School</t>
  </si>
  <si>
    <t>Wilson Elementary School</t>
  </si>
  <si>
    <t>Zaharis Elementary</t>
  </si>
  <si>
    <t>Mexicayotl Academy, Inc.</t>
  </si>
  <si>
    <t>Mexicayotl Academy</t>
  </si>
  <si>
    <t>Mexicayotl Charter School</t>
  </si>
  <si>
    <t>Miami Unified District</t>
  </si>
  <si>
    <t>Dr. Charles A. Bejarano Elementary School</t>
  </si>
  <si>
    <t>Lee Kornegay Intermediate School</t>
  </si>
  <si>
    <t>Miami Junior Senior High School</t>
  </si>
  <si>
    <t>Midtown Primary School</t>
  </si>
  <si>
    <t>Mingus Mountain Estate Residential Center, Inc.</t>
  </si>
  <si>
    <t>Casa Grande Academy</t>
  </si>
  <si>
    <t>Mingus Mountain Youth Treatment Center</t>
  </si>
  <si>
    <t>Mingus Springs Charter School</t>
  </si>
  <si>
    <t>Mingus Union High School District</t>
  </si>
  <si>
    <t>Mingus Union High School</t>
  </si>
  <si>
    <t>Mobile Elementary District</t>
  </si>
  <si>
    <t>Mobile Elementary School</t>
  </si>
  <si>
    <t>Moencopi Day School</t>
  </si>
  <si>
    <t>Mohave Accelerated Learning Center</t>
  </si>
  <si>
    <t>Mohave Accelerated Elementary School</t>
  </si>
  <si>
    <t>Mohave Accelerated Elementary School East</t>
  </si>
  <si>
    <t>Mohave Valley Elementary District</t>
  </si>
  <si>
    <t>Camp Mohave Elementary School</t>
  </si>
  <si>
    <t>Fort Mohave Elementary School</t>
  </si>
  <si>
    <t>Mohave Valley Junior High School</t>
  </si>
  <si>
    <t>Mohawk Valley Elementary District</t>
  </si>
  <si>
    <t>Mohawk Valley School</t>
  </si>
  <si>
    <t>Morenci Unified District</t>
  </si>
  <si>
    <t>Fairbanks Middle School</t>
  </si>
  <si>
    <t>Metcalf Elementary School</t>
  </si>
  <si>
    <t>Morenci High School</t>
  </si>
  <si>
    <t>Morristown Elementary District</t>
  </si>
  <si>
    <t>Morristown Elementary School</t>
  </si>
  <si>
    <t>Most Holy Trinity Catholic School</t>
  </si>
  <si>
    <t>Murphy Elementary District</t>
  </si>
  <si>
    <t>Arthur M Hamilton School</t>
  </si>
  <si>
    <t>Jack L Kuban Elementary School</t>
  </si>
  <si>
    <t>William R Sullivan Elementary School</t>
  </si>
  <si>
    <t>Naco Elementary District</t>
  </si>
  <si>
    <t>Naco Elementary School</t>
  </si>
  <si>
    <t>Nadaburg Unified School District</t>
  </si>
  <si>
    <t>Desert Oasis Elementary School</t>
  </si>
  <si>
    <t>Mountainside High School</t>
  </si>
  <si>
    <t>Nadaburg Elementary School</t>
  </si>
  <si>
    <t>Native American Christian Academy</t>
  </si>
  <si>
    <t>Navajo Mission Preparatory School</t>
  </si>
  <si>
    <t>Nazlini Community School</t>
  </si>
  <si>
    <t>New Horizon School for the Performing Arts</t>
  </si>
  <si>
    <t>New World Educational Center</t>
  </si>
  <si>
    <t>Noah Webster Schools - Mesa</t>
  </si>
  <si>
    <t>Noah Webster Schools- Mesa</t>
  </si>
  <si>
    <t>Noah Webster Schools-Pima</t>
  </si>
  <si>
    <t>Nogales Unified District</t>
  </si>
  <si>
    <t>A J Mitchell Elementary School</t>
  </si>
  <si>
    <t>Challenger Elementary School</t>
  </si>
  <si>
    <t>Desert Shadows Middle School</t>
  </si>
  <si>
    <t>Francisco Vasquez De Coronado Elementary School</t>
  </si>
  <si>
    <t>Mary L Welty Elementary School</t>
  </si>
  <si>
    <t>Nogales High School</t>
  </si>
  <si>
    <t>Pierson High School</t>
  </si>
  <si>
    <t>Robert Bracker Elementary</t>
  </si>
  <si>
    <t>Wade Carpenter Middle School</t>
  </si>
  <si>
    <t>Nosotros, Inc</t>
  </si>
  <si>
    <t>Nosotros Academy</t>
  </si>
  <si>
    <t>Omega Alpha Academy</t>
  </si>
  <si>
    <t>Omega Alpha Academy School</t>
  </si>
  <si>
    <t>Oracle Elementary District</t>
  </si>
  <si>
    <t>Mountain Vista School</t>
  </si>
  <si>
    <t>Osborn Elementary District</t>
  </si>
  <si>
    <t>Clarendon School</t>
  </si>
  <si>
    <t>Encanto School</t>
  </si>
  <si>
    <t>Longview Elementary School</t>
  </si>
  <si>
    <t>Montecito Community School</t>
  </si>
  <si>
    <t>Osborn Middle School</t>
  </si>
  <si>
    <t>Solano School</t>
  </si>
  <si>
    <t>Our Lady of Perpetual Help School</t>
  </si>
  <si>
    <t>Our Lady of Perpetual Help School Glendale</t>
  </si>
  <si>
    <t>Our Mother of Sorrows Church</t>
  </si>
  <si>
    <t>Our Mother of Sorrows School</t>
  </si>
  <si>
    <t>Owens School District No.6</t>
  </si>
  <si>
    <t>Owens Elementary School</t>
  </si>
  <si>
    <t>P.L.C. Charter Schools</t>
  </si>
  <si>
    <t>Arts Academy at Estrella Mountain</t>
  </si>
  <si>
    <t>Page Unified School District #8</t>
  </si>
  <si>
    <t>Desert View Elementary Intermediate</t>
  </si>
  <si>
    <t>Lake View Elementary Primary</t>
  </si>
  <si>
    <t>Manson Mesa High School</t>
  </si>
  <si>
    <t>Page High School</t>
  </si>
  <si>
    <t>Page Middle School</t>
  </si>
  <si>
    <t>Tse'yaato' High School</t>
  </si>
  <si>
    <t>Painted Desert Demonstration Projects, Inc.</t>
  </si>
  <si>
    <t>STAR Charter School</t>
  </si>
  <si>
    <t>Palo Verde Elementary District</t>
  </si>
  <si>
    <t>Palo Verde Elementary School</t>
  </si>
  <si>
    <t>Paloma School District</t>
  </si>
  <si>
    <t>Kiser Elementary School</t>
  </si>
  <si>
    <t>Palominas Elementary School District 49</t>
  </si>
  <si>
    <t>Palominas Elementary School</t>
  </si>
  <si>
    <t>Valley View Elementary School</t>
  </si>
  <si>
    <t>Pan-American Elementary Charter</t>
  </si>
  <si>
    <t>Pan-American Charter School</t>
  </si>
  <si>
    <t>Paradise Valley Unified District</t>
  </si>
  <si>
    <t>Boulder Creek Elementary School</t>
  </si>
  <si>
    <t>Cactus View Elementary School</t>
  </si>
  <si>
    <t>Campo Bello Elementary School</t>
  </si>
  <si>
    <t>Copper Canyon Elementary School</t>
  </si>
  <si>
    <t>Desert Cove Elementary School</t>
  </si>
  <si>
    <t>Desert Shadows Elementary School</t>
  </si>
  <si>
    <t>Desert Springs Preparatory Elementary School</t>
  </si>
  <si>
    <t>Desert Trails Elementary School</t>
  </si>
  <si>
    <t>Eagle Ridge Elementary School</t>
  </si>
  <si>
    <t>Echo Mountain Intermediate School</t>
  </si>
  <si>
    <t>Echo Mountain Primary School</t>
  </si>
  <si>
    <t>Explorer Middle School</t>
  </si>
  <si>
    <t>Fireside Elementary School</t>
  </si>
  <si>
    <t>Grayhawk Elementary School</t>
  </si>
  <si>
    <t>Greenway Middle School</t>
  </si>
  <si>
    <t>Hidden Hills Elementary School</t>
  </si>
  <si>
    <t>Horizon High School</t>
  </si>
  <si>
    <t>Indian Bend Elementary School</t>
  </si>
  <si>
    <t>Larkspur Elementary School</t>
  </si>
  <si>
    <t>Mercury Mine Elementary School</t>
  </si>
  <si>
    <t>Mountain Trail Middle School</t>
  </si>
  <si>
    <t>North Canyon High School</t>
  </si>
  <si>
    <t>North Ranch Elementary School</t>
  </si>
  <si>
    <t>Palomino Intermediate School</t>
  </si>
  <si>
    <t>Palomino Primary School</t>
  </si>
  <si>
    <t>Paradise Valley High School</t>
  </si>
  <si>
    <t>Pinnacle High School</t>
  </si>
  <si>
    <t>Pinnacle Peak Preparatory</t>
  </si>
  <si>
    <t>Roadrunner School</t>
  </si>
  <si>
    <t>Sandpiper Elementary School</t>
  </si>
  <si>
    <t>Shadow Mountain High School</t>
  </si>
  <si>
    <t>Shea Middle School</t>
  </si>
  <si>
    <t>Sky Crossing Elementary School</t>
  </si>
  <si>
    <t>Sonoran Sky Elementary School</t>
  </si>
  <si>
    <t>Sunrise Middle School</t>
  </si>
  <si>
    <t>Sunset Canyon School</t>
  </si>
  <si>
    <t>Sweetwater Community School</t>
  </si>
  <si>
    <t>The ACES - Paradise Valley Campus</t>
  </si>
  <si>
    <t>Vista Verde Middle School</t>
  </si>
  <si>
    <t>Whispering Wind Academy</t>
  </si>
  <si>
    <t>Wildfire Elementary School</t>
  </si>
  <si>
    <t>Paragon Management, Inc.</t>
  </si>
  <si>
    <t>Paradise Honors Elementary School</t>
  </si>
  <si>
    <t>Paradise Honors High School</t>
  </si>
  <si>
    <t>Parker Unified School District</t>
  </si>
  <si>
    <t>Blake Primary School</t>
  </si>
  <si>
    <t>Le Pera Elementary School</t>
  </si>
  <si>
    <t>Parker High School</t>
  </si>
  <si>
    <t>Wallace Elementary School</t>
  </si>
  <si>
    <t>Wallace Jr High School</t>
  </si>
  <si>
    <t>Patagonia Union High School District</t>
  </si>
  <si>
    <t>Patagonia Elementary School</t>
  </si>
  <si>
    <t>Patagonia Union High School</t>
  </si>
  <si>
    <t>Pathfinder Charter School Foundation</t>
  </si>
  <si>
    <t>Imagine Cortez Park Elementary</t>
  </si>
  <si>
    <t>Payson Unified District</t>
  </si>
  <si>
    <t>Julia Randall Elementary School</t>
  </si>
  <si>
    <t>Payson Elementary School</t>
  </si>
  <si>
    <t>Payson High School</t>
  </si>
  <si>
    <t>Rim Country Middle School</t>
  </si>
  <si>
    <t>Peach Springs Unified District</t>
  </si>
  <si>
    <t>Music Mountain Jr./Sr. High School</t>
  </si>
  <si>
    <t>Peach Springs School</t>
  </si>
  <si>
    <t>Valentine Elementary School</t>
  </si>
  <si>
    <t>Pearce Elementary District</t>
  </si>
  <si>
    <t>Pearce Elementary School</t>
  </si>
  <si>
    <t>Pendergast Elementary District</t>
  </si>
  <si>
    <t>Amberlea Elementary School</t>
  </si>
  <si>
    <t>Canyon Breeze Elementary</t>
  </si>
  <si>
    <t>Copper King Elementary</t>
  </si>
  <si>
    <t>Desert Horizon Elementary School</t>
  </si>
  <si>
    <t>Desert Mirage Elementary School</t>
  </si>
  <si>
    <t>Garden Lakes Elementary School</t>
  </si>
  <si>
    <t>Pendergast Elementary School</t>
  </si>
  <si>
    <t>Rio Vista Elementary</t>
  </si>
  <si>
    <t>Sunset Ridge Elementary School</t>
  </si>
  <si>
    <t>Villa De Paz Elementary School</t>
  </si>
  <si>
    <t>Westwind Elementary School</t>
  </si>
  <si>
    <t>Pensar Academy</t>
  </si>
  <si>
    <t>Peoria Unified School District</t>
  </si>
  <si>
    <t>Alta Loma School</t>
  </si>
  <si>
    <t>Apache Elementary School</t>
  </si>
  <si>
    <t>Cactus High School</t>
  </si>
  <si>
    <t>Canyon Elementary School</t>
  </si>
  <si>
    <t>Centennial High School</t>
  </si>
  <si>
    <t>Cheyenne Elementary School</t>
  </si>
  <si>
    <t>Copperwood School</t>
  </si>
  <si>
    <t>Cotton Boll School</t>
  </si>
  <si>
    <t>Country Meadows Elementary School</t>
  </si>
  <si>
    <t>Coyote Hills Elementary School</t>
  </si>
  <si>
    <t>Desert Harbor Elementary School</t>
  </si>
  <si>
    <t>Desert Palms Elementary School</t>
  </si>
  <si>
    <t>Desert Valley Elementary School</t>
  </si>
  <si>
    <t>Foothills Elementary School</t>
  </si>
  <si>
    <t>Frontier Elementary School</t>
  </si>
  <si>
    <t>Heritage School</t>
  </si>
  <si>
    <t>Ira A Murphy</t>
  </si>
  <si>
    <t>Ironwood High School</t>
  </si>
  <si>
    <t>Kachina Elementary School</t>
  </si>
  <si>
    <t>Lake Pleasant Elementary</t>
  </si>
  <si>
    <t>Liberty High School</t>
  </si>
  <si>
    <t>Marshall Ranch Elementary School</t>
  </si>
  <si>
    <t>Oakwood Elementary School</t>
  </si>
  <si>
    <t>Oasis Elementary School</t>
  </si>
  <si>
    <t>Parkridge Elementary</t>
  </si>
  <si>
    <t>Paseo Verde Elementary School</t>
  </si>
  <si>
    <t>Peoria Elementary School</t>
  </si>
  <si>
    <t>Peoria Flex Academy</t>
  </si>
  <si>
    <t>Peoria High School</t>
  </si>
  <si>
    <t>Peoria Traditional School</t>
  </si>
  <si>
    <t>Raymond S. Kellis</t>
  </si>
  <si>
    <t>Sahuaro Ranch Elementary School</t>
  </si>
  <si>
    <t>Santa Fe Elementary School</t>
  </si>
  <si>
    <t>Sky View Elementary School</t>
  </si>
  <si>
    <t>Sun Valley Elementary School</t>
  </si>
  <si>
    <t>Sundance Elementary School</t>
  </si>
  <si>
    <t>Sunflower School</t>
  </si>
  <si>
    <t>Sunrise Mountain High School</t>
  </si>
  <si>
    <t>Sunset Heights Elementary School</t>
  </si>
  <si>
    <t>Vistancia Elementary School</t>
  </si>
  <si>
    <t>Zuni Hills Elementary School</t>
  </si>
  <si>
    <t>Peridot/Our Saviors Lutheran Elementary School</t>
  </si>
  <si>
    <t>Peridot - Our Savior's Lutheran School</t>
  </si>
  <si>
    <t>Phoenix Elementary District</t>
  </si>
  <si>
    <t>Augustus H. Shaw Montessori</t>
  </si>
  <si>
    <t>Capitol Elementary School</t>
  </si>
  <si>
    <t>Faith North Early Childhood Learning Center</t>
  </si>
  <si>
    <t>Garfield School</t>
  </si>
  <si>
    <t>Kenilworth Elementary School</t>
  </si>
  <si>
    <t>Magnet Traditional School</t>
  </si>
  <si>
    <t>Maie Bartlett Heard School</t>
  </si>
  <si>
    <t>Mary Mcleod Bethune School</t>
  </si>
  <si>
    <t>Paul Dunbar Lawrence School</t>
  </si>
  <si>
    <t>Ralph Waldo Emerson Elementary School</t>
  </si>
  <si>
    <t>Silvestre S Herrera School</t>
  </si>
  <si>
    <t>Thomas A Edison School</t>
  </si>
  <si>
    <t>Phoenix International Academy</t>
  </si>
  <si>
    <t>Phoenix Union High School District</t>
  </si>
  <si>
    <t>Alhambra High School</t>
  </si>
  <si>
    <t>Betty Fairfax High School</t>
  </si>
  <si>
    <t>Bostrom Alternative Center</t>
  </si>
  <si>
    <t>Camelback High School</t>
  </si>
  <si>
    <t>Carl Hayden High School</t>
  </si>
  <si>
    <t>Central High School</t>
  </si>
  <si>
    <t>Cesar Chavez High School</t>
  </si>
  <si>
    <t>Franklin Police and Fire High School</t>
  </si>
  <si>
    <t>Linda Abril Educational Academy</t>
  </si>
  <si>
    <t>Maryvale High School</t>
  </si>
  <si>
    <t>Metro Tech High School</t>
  </si>
  <si>
    <t>North High School</t>
  </si>
  <si>
    <t>Phoenix Coding Academy</t>
  </si>
  <si>
    <t>Phoenix Educator Preparatory</t>
  </si>
  <si>
    <t>Phoenix Union Bioscience High School</t>
  </si>
  <si>
    <t>Phoenix Union-Wilson College Preparatory</t>
  </si>
  <si>
    <t>South Mountain High School</t>
  </si>
  <si>
    <t>Trevor Browne High School</t>
  </si>
  <si>
    <t>Picacho Elementary District</t>
  </si>
  <si>
    <t>Picacho School</t>
  </si>
  <si>
    <t>Pima County Detention Center</t>
  </si>
  <si>
    <t>Pima County Jail</t>
  </si>
  <si>
    <t>Pima County Juvenile Court Center</t>
  </si>
  <si>
    <t>Pima County Juvenile Court</t>
  </si>
  <si>
    <t>Pima Prevention Partnership</t>
  </si>
  <si>
    <t>Arizona Collegiate High School</t>
  </si>
  <si>
    <t>Pima Prevention Partnership dba Pima Partnership Academy</t>
  </si>
  <si>
    <t>Pima Partnership Academy</t>
  </si>
  <si>
    <t>Pima Prevention Partnership dba Pima Partnership School, The</t>
  </si>
  <si>
    <t>Pima Partnership School, The</t>
  </si>
  <si>
    <t>Pima Unified District</t>
  </si>
  <si>
    <t>Dan Hinton Accommodation School</t>
  </si>
  <si>
    <t>Pima Elementary School</t>
  </si>
  <si>
    <t>Pima High School</t>
  </si>
  <si>
    <t>Pima Junior High School</t>
  </si>
  <si>
    <t>Pinal County Juvenile Detention (Use 79516)</t>
  </si>
  <si>
    <t>Hope School</t>
  </si>
  <si>
    <t>Pine Springs Day School</t>
  </si>
  <si>
    <t>Pine Strawberry Elementary District</t>
  </si>
  <si>
    <t>Pine Strawberry Elementary School</t>
  </si>
  <si>
    <t>Pinon Community School Board</t>
  </si>
  <si>
    <t>Pinon Community School</t>
  </si>
  <si>
    <t>Pinon Unified District</t>
  </si>
  <si>
    <t>Pinon Accelerated Middle School</t>
  </si>
  <si>
    <t>Pinon Elementary School</t>
  </si>
  <si>
    <t>Pinon High School</t>
  </si>
  <si>
    <t>Pioneer Preparatory School</t>
  </si>
  <si>
    <t>Pioneer Preparatory - A Challenge Foundation</t>
  </si>
  <si>
    <t>Pomerene Elementary District</t>
  </si>
  <si>
    <t>Pomerene Elementary School</t>
  </si>
  <si>
    <t>Portable Practical Educational Preparation, Inc. (PPEP, Inc.)</t>
  </si>
  <si>
    <t>PPEP TEC - Alice S. Paul Learning Center</t>
  </si>
  <si>
    <t>PPEP TEC - Celestino Fernandez Learning Center</t>
  </si>
  <si>
    <t>PPEP TEC - Cesar Chavez Learning Center</t>
  </si>
  <si>
    <t>PPEP TEC - Colin L. Powell Learning Center</t>
  </si>
  <si>
    <t>PPEP TEC - Jose Yepez Learning Center</t>
  </si>
  <si>
    <t>PPEP TEC - Raul H. Castro Learning Center</t>
  </si>
  <si>
    <t>Premier Charter High School</t>
  </si>
  <si>
    <t>Prescott Unified District</t>
  </si>
  <si>
    <t>Abia Judd Elementary School</t>
  </si>
  <si>
    <t>Granite Mountain Middle School</t>
  </si>
  <si>
    <t>Prescott High School</t>
  </si>
  <si>
    <t>Prescott Mile High Middle School</t>
  </si>
  <si>
    <t>Sacred Heart Parish School</t>
  </si>
  <si>
    <t>Taylor Hicks School</t>
  </si>
  <si>
    <t>Prescott Valley Charter School</t>
  </si>
  <si>
    <t>Prescott Valley School</t>
  </si>
  <si>
    <t>Presidio School</t>
  </si>
  <si>
    <t>Quartzsite Elementary District</t>
  </si>
  <si>
    <t>Ehrenberg Elementary School</t>
  </si>
  <si>
    <t>Queen Creek Unified District</t>
  </si>
  <si>
    <t>Crismon High School</t>
  </si>
  <si>
    <t>Desert Mountain Elementary</t>
  </si>
  <si>
    <t>Eastmark High School</t>
  </si>
  <si>
    <t>Faith Mather Sossaman Elementary School</t>
  </si>
  <si>
    <t>Frances Brandon-Pickett Elementary</t>
  </si>
  <si>
    <t>Gateway Polytechnic Academy</t>
  </si>
  <si>
    <t>Jack Barnes Elementary School</t>
  </si>
  <si>
    <t>Katherine Mecham Barney Elementary</t>
  </si>
  <si>
    <t>Newell Barney College Preparatory School</t>
  </si>
  <si>
    <t>Queen Creek Elementary School</t>
  </si>
  <si>
    <t>Queen Creek High School</t>
  </si>
  <si>
    <t>Queen Creek Junior High School</t>
  </si>
  <si>
    <t>Schnepf Elementary School</t>
  </si>
  <si>
    <t>Silver Valley Elementary</t>
  </si>
  <si>
    <t>Queen of Peace</t>
  </si>
  <si>
    <t>Queen of Peace Catholic School</t>
  </si>
  <si>
    <t>Ray Unified District</t>
  </si>
  <si>
    <t>Ray Elementary School</t>
  </si>
  <si>
    <t>Ray JR/SR High School</t>
  </si>
  <si>
    <t>Red Mesa Unified District</t>
  </si>
  <si>
    <t>Red Mesa Elementary School</t>
  </si>
  <si>
    <t>Red Mesa High School</t>
  </si>
  <si>
    <t>Red Mesa Junior High School</t>
  </si>
  <si>
    <t>Red Valley/Cove High School</t>
  </si>
  <si>
    <t>Round Rock Elementary School</t>
  </si>
  <si>
    <t>Red Rock Day School</t>
  </si>
  <si>
    <t>Red Rock Elementary District</t>
  </si>
  <si>
    <t>Red Rock Elementary School</t>
  </si>
  <si>
    <t>Research Based Education Corporation</t>
  </si>
  <si>
    <t>Paulden Community School</t>
  </si>
  <si>
    <t>Ridgeline Academy, Inc.</t>
  </si>
  <si>
    <t>Freedom Academy</t>
  </si>
  <si>
    <t>Riverside Elementary District</t>
  </si>
  <si>
    <t>Kings Ridge School</t>
  </si>
  <si>
    <t>Maricopa Institute of Technology</t>
  </si>
  <si>
    <t>Maricopa Institute of Technology (MIT)</t>
  </si>
  <si>
    <t>Riverside Traditional School</t>
  </si>
  <si>
    <t>Rock Point Community School</t>
  </si>
  <si>
    <t>Rocky Ridge Boarding School</t>
  </si>
  <si>
    <t>Roosevelt Elementary District</t>
  </si>
  <si>
    <t>Bernard Black Elementary School</t>
  </si>
  <si>
    <t>C J Jorgensen School</t>
  </si>
  <si>
    <t>C O Greenfield School</t>
  </si>
  <si>
    <t>Cesar E Chavez Community School</t>
  </si>
  <si>
    <t>Cloves C Campbell Sr Elementary School</t>
  </si>
  <si>
    <t>Ed &amp;amp; Verma Pastor Elementary School</t>
  </si>
  <si>
    <t>Ignacio Conchos School</t>
  </si>
  <si>
    <t>Irene Lopez School</t>
  </si>
  <si>
    <t>John F Kennedy Elementary School</t>
  </si>
  <si>
    <t>John R Davis School</t>
  </si>
  <si>
    <t>Martin Luther King Early Childhood Center</t>
  </si>
  <si>
    <t>Maxine O Bush Elementary School</t>
  </si>
  <si>
    <t>Percy L Julian School</t>
  </si>
  <si>
    <t>Southwest Elementary School</t>
  </si>
  <si>
    <t>Sunland Elementary School</t>
  </si>
  <si>
    <t>T G Barr School</t>
  </si>
  <si>
    <t>V H Lassen Elementary School</t>
  </si>
  <si>
    <t>Valley View School</t>
  </si>
  <si>
    <t>Rosefield Charter Elementary School, Inc.</t>
  </si>
  <si>
    <t>Imagine Rosefield</t>
  </si>
  <si>
    <t>Rough Rock School Board, Inc.</t>
  </si>
  <si>
    <t>Rough Rock Elementary School</t>
  </si>
  <si>
    <t>Rough Rock High School</t>
  </si>
  <si>
    <t>Round Valley Unified District</t>
  </si>
  <si>
    <t>Round Valley Elementary School</t>
  </si>
  <si>
    <t>Round Valley High School</t>
  </si>
  <si>
    <t>Round Valley Middle School</t>
  </si>
  <si>
    <t>Sacaton Elementary District</t>
  </si>
  <si>
    <t>Sacaton Elementary</t>
  </si>
  <si>
    <t>Sacaton Middle School</t>
  </si>
  <si>
    <t>Sacred Heart School</t>
  </si>
  <si>
    <t>Saddle Mountain Unified School District</t>
  </si>
  <si>
    <t>Desert Sunset Elementary School</t>
  </si>
  <si>
    <t>Ruth Fisher Middle School</t>
  </si>
  <si>
    <t>Tartesso Elementary School</t>
  </si>
  <si>
    <t>Tonopah Valley High School</t>
  </si>
  <si>
    <t>Winters Well Elementary School</t>
  </si>
  <si>
    <t>Safford Unified District</t>
  </si>
  <si>
    <t>Dorothy Stinson School</t>
  </si>
  <si>
    <t>Lafe Nelson School</t>
  </si>
  <si>
    <t>Mt Graham High School</t>
  </si>
  <si>
    <t>Ruth Powell Elementary School</t>
  </si>
  <si>
    <t>Safford High School</t>
  </si>
  <si>
    <t>Safford Middle School</t>
  </si>
  <si>
    <t>Sage Academy, Inc.</t>
  </si>
  <si>
    <t>Sage Academy</t>
  </si>
  <si>
    <t>Sahuarita Unified District</t>
  </si>
  <si>
    <t>Anza Trail</t>
  </si>
  <si>
    <t>Copper View Elementary School</t>
  </si>
  <si>
    <t>Sahuarita High School</t>
  </si>
  <si>
    <t>Sahuarita Intermediate School</t>
  </si>
  <si>
    <t>Sahuarita Middle School</t>
  </si>
  <si>
    <t>Sahuarita Primary School</t>
  </si>
  <si>
    <t>Sopori Elementary School</t>
  </si>
  <si>
    <t>Walden Grove High School</t>
  </si>
  <si>
    <t>Wrightson Ridge K-8 School</t>
  </si>
  <si>
    <t>Saint Joseph Catholic Parish</t>
  </si>
  <si>
    <t>Saint Joseph Catholic School</t>
  </si>
  <si>
    <t>Salome Consolidated Elementary District</t>
  </si>
  <si>
    <t>Salome Elementary School</t>
  </si>
  <si>
    <t>Salt River Pima-Maricopa  Community Schools</t>
  </si>
  <si>
    <t>Early Childhood Education Center</t>
  </si>
  <si>
    <t>Salt River Accelerated Learning Academy</t>
  </si>
  <si>
    <t>Salt River Elementary School</t>
  </si>
  <si>
    <t>San Carlos Unified District</t>
  </si>
  <si>
    <t>Rice Elementary School</t>
  </si>
  <si>
    <t>San Carlos Alternative High School</t>
  </si>
  <si>
    <t>San Carlos High School</t>
  </si>
  <si>
    <t>San Carlos Middle School</t>
  </si>
  <si>
    <t>San Miguel of Tucson Corp.</t>
  </si>
  <si>
    <t>San Miguel Catholic High School</t>
  </si>
  <si>
    <t>San Simon Unified District</t>
  </si>
  <si>
    <t>San Simon School</t>
  </si>
  <si>
    <t>Sanders Unified District</t>
  </si>
  <si>
    <t>Sanders Elementary School</t>
  </si>
  <si>
    <t>Sanders Middle School</t>
  </si>
  <si>
    <t>Valley High School</t>
  </si>
  <si>
    <t>Santa Cruz Catholic School</t>
  </si>
  <si>
    <t>Santa Cruz Elementary District</t>
  </si>
  <si>
    <t>Little Red Schoolhouse</t>
  </si>
  <si>
    <t>Santa Cruz Valley Unified District</t>
  </si>
  <si>
    <t>Calabasas School</t>
  </si>
  <si>
    <t>Coatimundi Middle School</t>
  </si>
  <si>
    <t>Mountain View School</t>
  </si>
  <si>
    <t>Rio Rico High School</t>
  </si>
  <si>
    <t>San Cayetano Elementary School</t>
  </si>
  <si>
    <t>Santa Cruz Valley Union High School District</t>
  </si>
  <si>
    <t>Santa Cruz Center for Success</t>
  </si>
  <si>
    <t>Santa Cruz Valley Union High School</t>
  </si>
  <si>
    <t>Satori, Inc.</t>
  </si>
  <si>
    <t>Satori Charter School</t>
  </si>
  <si>
    <t>Scholars Academy Sunnyslope</t>
  </si>
  <si>
    <t>Science Technology Engineering and Math Arizona</t>
  </si>
  <si>
    <t>Da Vinci Tree Academy</t>
  </si>
  <si>
    <t>Scottsdale Unified District</t>
  </si>
  <si>
    <t>Anasazi Elementary</t>
  </si>
  <si>
    <t>Arcadia High School</t>
  </si>
  <si>
    <t>Chaparral High School</t>
  </si>
  <si>
    <t>Cherokee Elementary School</t>
  </si>
  <si>
    <t>Cheyenne Traditional School</t>
  </si>
  <si>
    <t>Cocopah Middle School</t>
  </si>
  <si>
    <t>Copper Ridge School</t>
  </si>
  <si>
    <t>Coronado High School</t>
  </si>
  <si>
    <t>Desert Canyon Elementary</t>
  </si>
  <si>
    <t>Desert Canyon Middle School</t>
  </si>
  <si>
    <t>Desert Mountain High School</t>
  </si>
  <si>
    <t>Echo Canyon K-8</t>
  </si>
  <si>
    <t>Hohokam Elementary School</t>
  </si>
  <si>
    <t>Hopi Elementary School</t>
  </si>
  <si>
    <t>Ingleside Middle School</t>
  </si>
  <si>
    <t>Kiva Elementary School</t>
  </si>
  <si>
    <t>Mohave Middle School</t>
  </si>
  <si>
    <t>Mountainside Middle School</t>
  </si>
  <si>
    <t>Navajo Elementary School</t>
  </si>
  <si>
    <t>Redfield Elementary School</t>
  </si>
  <si>
    <t>Saguaro High School</t>
  </si>
  <si>
    <t>Sequoya Elementary School</t>
  </si>
  <si>
    <t>Tavan Elementary School</t>
  </si>
  <si>
    <t>Tonalea Middle School</t>
  </si>
  <si>
    <t>Yavapai Elementary School</t>
  </si>
  <si>
    <t>Seba Dalkai Boarding School</t>
  </si>
  <si>
    <t>Seba Dalkai School</t>
  </si>
  <si>
    <t>Second Mesa Day School</t>
  </si>
  <si>
    <t>Second Mesa Day</t>
  </si>
  <si>
    <t>Sedona-Oak Creek JUSD #9</t>
  </si>
  <si>
    <t>Sedona Red Rock Junior/Senior High School</t>
  </si>
  <si>
    <t>West Sedona Elementary School</t>
  </si>
  <si>
    <t>Self Development Academy-Phoenix</t>
  </si>
  <si>
    <t>Seligman Unified District</t>
  </si>
  <si>
    <t>Seligman Elementary School</t>
  </si>
  <si>
    <t>Seligman High School</t>
  </si>
  <si>
    <t>Sentinel Elementary District</t>
  </si>
  <si>
    <t>Sentinel Elementary School</t>
  </si>
  <si>
    <t>Shonto Governing Board of Education, Inc.</t>
  </si>
  <si>
    <t>Shonto Preparatory School</t>
  </si>
  <si>
    <t>Shonto Preparatory Technology High School</t>
  </si>
  <si>
    <t>Show Low Unified District</t>
  </si>
  <si>
    <t>Linden Elementary School</t>
  </si>
  <si>
    <t>Nikolaus Homestead Elementary School</t>
  </si>
  <si>
    <t>Show Low High School</t>
  </si>
  <si>
    <t>Show Low Junior High School</t>
  </si>
  <si>
    <t>Whipple Ranch Elementary School</t>
  </si>
  <si>
    <t>Sierra Vista Unified District</t>
  </si>
  <si>
    <t>Bella Vista Elementary School</t>
  </si>
  <si>
    <t>Buena High School</t>
  </si>
  <si>
    <t>Carmichael Elementary School</t>
  </si>
  <si>
    <t>Huachuca Mountain Elementary School</t>
  </si>
  <si>
    <t>Joyce Clark Middle School</t>
  </si>
  <si>
    <t>Pueblo Del Sol Elementary School</t>
  </si>
  <si>
    <t>Town &amp;amp; Country Elementary School</t>
  </si>
  <si>
    <t>Skull Valley Elementary District</t>
  </si>
  <si>
    <t>Skull Valley Elementary School</t>
  </si>
  <si>
    <t>Skyline Schools, Inc.</t>
  </si>
  <si>
    <t>AZ Compass Prep School</t>
  </si>
  <si>
    <t>Skyline D5</t>
  </si>
  <si>
    <t>Skyline Prep High School</t>
  </si>
  <si>
    <t>South Phoenix Prep and Arts Academy</t>
  </si>
  <si>
    <t>South Valley Prep and Arts School</t>
  </si>
  <si>
    <t>Vector Prep and Arts Academy</t>
  </si>
  <si>
    <t>Snowflake Unified District</t>
  </si>
  <si>
    <t>Highland Primary School</t>
  </si>
  <si>
    <t>Snowflake High School</t>
  </si>
  <si>
    <t>Snowflake Intermediate School</t>
  </si>
  <si>
    <t>Snowflake Junior High School</t>
  </si>
  <si>
    <t>Taylor Elementary School</t>
  </si>
  <si>
    <t>Taylor Intermediate School</t>
  </si>
  <si>
    <t>Solomon Elementary District</t>
  </si>
  <si>
    <t>Solomon Elementary School</t>
  </si>
  <si>
    <t>Somerset Academy Arizona, Inc.</t>
  </si>
  <si>
    <t>Somerset Academy Skyway Campus</t>
  </si>
  <si>
    <t>Somerton Elementary District</t>
  </si>
  <si>
    <t>Bravie T. Soto Elementary School</t>
  </si>
  <si>
    <t>Desert Sonora Elementary School</t>
  </si>
  <si>
    <t>Encanto Learning Center</t>
  </si>
  <si>
    <t>Orange Grove Elementary School</t>
  </si>
  <si>
    <t>Somerton Middle School</t>
  </si>
  <si>
    <t>Tierra Del Sol Elementary School</t>
  </si>
  <si>
    <t>Sonoita Elementary District</t>
  </si>
  <si>
    <t>Elgin Elementary School</t>
  </si>
  <si>
    <t>Southgate Academy, Inc.</t>
  </si>
  <si>
    <t>Southgate Academy</t>
  </si>
  <si>
    <t>Southwest Education Center</t>
  </si>
  <si>
    <t>Harbourview Academy</t>
  </si>
  <si>
    <t>Southwest Academy</t>
  </si>
  <si>
    <t>Southwest Key Program</t>
  </si>
  <si>
    <t>Casa Phoenix</t>
  </si>
  <si>
    <t>Myrtle</t>
  </si>
  <si>
    <t>Southwest Key Programs - Amanecer</t>
  </si>
  <si>
    <t>Southwest Key Programs - Campbell</t>
  </si>
  <si>
    <t>Southwest Key Programs - Estrella Del Norte</t>
  </si>
  <si>
    <t>Southwest Key Programs - Kokopeli</t>
  </si>
  <si>
    <t>Southwest Key Programs - Las Palmas</t>
  </si>
  <si>
    <t>Southwest Key Programs - Lighthouse</t>
  </si>
  <si>
    <t>Southwest Leadership Academy</t>
  </si>
  <si>
    <t>St David Unified District</t>
  </si>
  <si>
    <t>St David Elementary School</t>
  </si>
  <si>
    <t>St David High School</t>
  </si>
  <si>
    <t>St Johns Unified District</t>
  </si>
  <si>
    <t>St Johns High School</t>
  </si>
  <si>
    <t>St Johns Middle School</t>
  </si>
  <si>
    <t>St. Agnes School</t>
  </si>
  <si>
    <t>St. Ambrose Catholic School</t>
  </si>
  <si>
    <t>St. Anthony of Padua Catholic School</t>
  </si>
  <si>
    <t>St. Charles School</t>
  </si>
  <si>
    <t>St. John the Evangelist</t>
  </si>
  <si>
    <t>St. John School</t>
  </si>
  <si>
    <t>St. Louis the King Catholic School</t>
  </si>
  <si>
    <t>St. Michael Indian School</t>
  </si>
  <si>
    <t>St. Michaels School</t>
  </si>
  <si>
    <t>St. Peter Indian Mission School</t>
  </si>
  <si>
    <t>St. Thomas the Apostle</t>
  </si>
  <si>
    <t>Stanfield Elementary District</t>
  </si>
  <si>
    <t>Stanfield Elementary School</t>
  </si>
  <si>
    <t>STEP UP Schools, Inc.</t>
  </si>
  <si>
    <t>STEP UP SCHOOL</t>
  </si>
  <si>
    <t>StrengthBuilding Partners</t>
  </si>
  <si>
    <t>Las Puertas Community School</t>
  </si>
  <si>
    <t>Success School</t>
  </si>
  <si>
    <t>Arizona Charter Academy</t>
  </si>
  <si>
    <t>Sun Valley Academy - South Mountain, Inc.</t>
  </si>
  <si>
    <t>Sun Valley Academy</t>
  </si>
  <si>
    <t>Sun Valley Academy-Avondale</t>
  </si>
  <si>
    <t>Sunnyside Unified District</t>
  </si>
  <si>
    <t>Apollo Middle School</t>
  </si>
  <si>
    <t>Billy Lane Lauffer Middle School</t>
  </si>
  <si>
    <t>Craycroft Elementary School</t>
  </si>
  <si>
    <t>Desert View High School</t>
  </si>
  <si>
    <t>Drexel Elementary School</t>
  </si>
  <si>
    <t>Elvira Elementary School</t>
  </si>
  <si>
    <t>Gallego Intermediate Fine Arts Magnet School</t>
  </si>
  <si>
    <t>Gallego Primary Fine Arts Magnet</t>
  </si>
  <si>
    <t>Los Amigos Elementary School</t>
  </si>
  <si>
    <t>Los Ninos Elementary School</t>
  </si>
  <si>
    <t>Mission Manor Elementary School</t>
  </si>
  <si>
    <t>Ocotillo Early Learning Elementary School</t>
  </si>
  <si>
    <t>Rivera Elementary</t>
  </si>
  <si>
    <t>Santa Clara Elementary School</t>
  </si>
  <si>
    <t>Sierra K-8 School</t>
  </si>
  <si>
    <t>STAR Academic High School</t>
  </si>
  <si>
    <t>Summit View Elementary</t>
  </si>
  <si>
    <t>Sunnyside High School</t>
  </si>
  <si>
    <t>Superior Unified School District</t>
  </si>
  <si>
    <t>John F Kennedy School</t>
  </si>
  <si>
    <t>Superior Junior/Senior High School</t>
  </si>
  <si>
    <t>Synergy Public School, Inc.</t>
  </si>
  <si>
    <t>Synergy Public School</t>
  </si>
  <si>
    <t>Tanque Verde Unified District</t>
  </si>
  <si>
    <t>Agua Caliente School</t>
  </si>
  <si>
    <t>Emily Gray Junior High School</t>
  </si>
  <si>
    <t>Tanque Verde Elementary School</t>
  </si>
  <si>
    <t>Tanque Verde High School</t>
  </si>
  <si>
    <t>Telesis Center for Learning, Inc.</t>
  </si>
  <si>
    <t>Telesis Preparatory</t>
  </si>
  <si>
    <t>Telesis Preparatory Academy</t>
  </si>
  <si>
    <t>Tempe School District</t>
  </si>
  <si>
    <t>Aguilar School</t>
  </si>
  <si>
    <t>Arredondo Elementary School</t>
  </si>
  <si>
    <t>Broadmor Elementary School</t>
  </si>
  <si>
    <t>Carminati School</t>
  </si>
  <si>
    <t>Cecil Shamley School</t>
  </si>
  <si>
    <t>Connolly Middle School</t>
  </si>
  <si>
    <t>Curry Elementary School</t>
  </si>
  <si>
    <t>Desert Choice Schools - Evans Learning Center</t>
  </si>
  <si>
    <t>Fees College Preparatory Middle School</t>
  </si>
  <si>
    <t>Flora Thew Elementary School</t>
  </si>
  <si>
    <t>Frank Elementary School</t>
  </si>
  <si>
    <t>Fuller Elementary School</t>
  </si>
  <si>
    <t>Geneva Epps Mosley Middle School</t>
  </si>
  <si>
    <t>Holdeman Elementary School</t>
  </si>
  <si>
    <t>Joseph P. Spracale Elementary School</t>
  </si>
  <si>
    <t>McKemy Academy of International  Studies</t>
  </si>
  <si>
    <t>Meyer Montessori</t>
  </si>
  <si>
    <t>Nevitt Elementary School</t>
  </si>
  <si>
    <t>Rover Elementary School</t>
  </si>
  <si>
    <t>Scales Technology Academy</t>
  </si>
  <si>
    <t>Ward Traditional Academy</t>
  </si>
  <si>
    <t>Wood School</t>
  </si>
  <si>
    <t>Tempe Union High School District</t>
  </si>
  <si>
    <t>Corona Del Sol High School</t>
  </si>
  <si>
    <t>Desert Vista High School</t>
  </si>
  <si>
    <t>Marcos De Niza High School</t>
  </si>
  <si>
    <t>Mcclintock High School</t>
  </si>
  <si>
    <t>Mountain Pointe High School</t>
  </si>
  <si>
    <t>Tempe High School</t>
  </si>
  <si>
    <t>Thatcher Unified District</t>
  </si>
  <si>
    <t>Jack Daley Primary School</t>
  </si>
  <si>
    <t>Thatcher Elementary School</t>
  </si>
  <si>
    <t>Thatcher High School</t>
  </si>
  <si>
    <t>Thatcher Middle School</t>
  </si>
  <si>
    <t>The Boys &amp;amp; Girls Clubs of the Valley</t>
  </si>
  <si>
    <t>Mesa Arts Academy</t>
  </si>
  <si>
    <t>The Charter Foundation, Inc.</t>
  </si>
  <si>
    <t>AmeriSchools Academy - Camelback</t>
  </si>
  <si>
    <t>AmeriSchools Academy - Tucson</t>
  </si>
  <si>
    <t>The Grande Innovation Academy</t>
  </si>
  <si>
    <t>The Grande Innovation</t>
  </si>
  <si>
    <t>The Paideia Academies, Inc</t>
  </si>
  <si>
    <t>Paideia Liberal Arts Academy</t>
  </si>
  <si>
    <t>The Paideia Academy of South Phoenix</t>
  </si>
  <si>
    <t>Think Through Academy</t>
  </si>
  <si>
    <t>Tiisyaakin Residential Hall, Inc</t>
  </si>
  <si>
    <t>Tiisyaakin Residential Hall, Inc.</t>
  </si>
  <si>
    <t>Tolleson Elementary District</t>
  </si>
  <si>
    <t>Porfirio H. Gonzales Elementary School</t>
  </si>
  <si>
    <t>Sheely Farms Elementary School</t>
  </si>
  <si>
    <t>Tolleson Union High School District</t>
  </si>
  <si>
    <t>Copper Canyon High School</t>
  </si>
  <si>
    <t>La Joya Community High School</t>
  </si>
  <si>
    <t>Sierra Linda High School</t>
  </si>
  <si>
    <t>Tolleson Union High School</t>
  </si>
  <si>
    <t>West Point High School</t>
  </si>
  <si>
    <t>Westview High School</t>
  </si>
  <si>
    <t>Toltec School District</t>
  </si>
  <si>
    <t>Arizona City Elementary School</t>
  </si>
  <si>
    <t>Toltec Elementary School</t>
  </si>
  <si>
    <t>Tombstone Unified District</t>
  </si>
  <si>
    <t>Huachuca City School</t>
  </si>
  <si>
    <t>Tombstone High School</t>
  </si>
  <si>
    <t>Walter J Meyer School</t>
  </si>
  <si>
    <t>Tonalea Day School</t>
  </si>
  <si>
    <t>Tonto Basin Elementary District</t>
  </si>
  <si>
    <t>Tonto Basin Elementary</t>
  </si>
  <si>
    <t>Topock Elementary District</t>
  </si>
  <si>
    <t>Topock Elementary School</t>
  </si>
  <si>
    <t>Torah Day School of Phoenix</t>
  </si>
  <si>
    <t>Tuba City Boarding School</t>
  </si>
  <si>
    <t>Tuba City Unified School District #15</t>
  </si>
  <si>
    <t>Dzil Libei Elementary School</t>
  </si>
  <si>
    <t>Nizhoni Accelerated Academy</t>
  </si>
  <si>
    <t>Tsinaabaas Habitiin Elementary School</t>
  </si>
  <si>
    <t>Tuba City Elementary School</t>
  </si>
  <si>
    <t>Tuba City High School</t>
  </si>
  <si>
    <t>Tuba City Junior High School</t>
  </si>
  <si>
    <t>Tucson Country Day School, Inc.</t>
  </si>
  <si>
    <t>Tucson Country Day School</t>
  </si>
  <si>
    <t>Tucson International Academy, Inc.</t>
  </si>
  <si>
    <t>TIA East</t>
  </si>
  <si>
    <t>TIA West</t>
  </si>
  <si>
    <t>Tucson International Academy</t>
  </si>
  <si>
    <t>Tucson International Academy Midvale</t>
  </si>
  <si>
    <t>Tucson Unified District</t>
  </si>
  <si>
    <t>Alice Vail Middle School</t>
  </si>
  <si>
    <t>Anna Henry Elementary School</t>
  </si>
  <si>
    <t>Anna Lawrence Intermediate School</t>
  </si>
  <si>
    <t>Annie Kellond Elementary School</t>
  </si>
  <si>
    <t>Blenman Elementary School</t>
  </si>
  <si>
    <t>Bloom Elementary</t>
  </si>
  <si>
    <t>Bonillas Elementary Basic Curriculum Magnet School</t>
  </si>
  <si>
    <t>Booth-Fickett Math/Science Magnet School</t>
  </si>
  <si>
    <t>Borman K-8 School</t>
  </si>
  <si>
    <t>Borton Primary Magnet School</t>
  </si>
  <si>
    <t>C E Rose Elementary School</t>
  </si>
  <si>
    <t>Carrillo Intermediate Magnet School</t>
  </si>
  <si>
    <t>Catalina High School</t>
  </si>
  <si>
    <t>Cavett Elementary School</t>
  </si>
  <si>
    <t>Cholla High School</t>
  </si>
  <si>
    <t>Cragin Elementary School</t>
  </si>
  <si>
    <t>Davidson Elementary School</t>
  </si>
  <si>
    <t>Davis Bilingual Magnet School</t>
  </si>
  <si>
    <t>Dietz K-8 School</t>
  </si>
  <si>
    <t>Doolen Middle School</t>
  </si>
  <si>
    <t>Drachman Primary Magnet School</t>
  </si>
  <si>
    <t>Dunham Elementary School</t>
  </si>
  <si>
    <t>Ford Elementary</t>
  </si>
  <si>
    <t>Frances J Warren Elementary School</t>
  </si>
  <si>
    <t>Fruchthendler Elementary School</t>
  </si>
  <si>
    <t>Gale Elementary School</t>
  </si>
  <si>
    <t>Gridley Middle School</t>
  </si>
  <si>
    <t>Harold Steele Elementary School</t>
  </si>
  <si>
    <t>Harriet Johnson Primary School</t>
  </si>
  <si>
    <t>Henry Hank Oyama</t>
  </si>
  <si>
    <t>Holladay Intermediate Magnet School</t>
  </si>
  <si>
    <t>Hollinger K-8 School</t>
  </si>
  <si>
    <t>Howell Peter Elementary</t>
  </si>
  <si>
    <t>Hudlow Elementary School</t>
  </si>
  <si>
    <t>Ida Flood Dodge Traditional Middle Magnet School</t>
  </si>
  <si>
    <t>Innovation Tech High School</t>
  </si>
  <si>
    <t>Irene Erickson Elementary School</t>
  </si>
  <si>
    <t>John B Wright Elementary School</t>
  </si>
  <si>
    <t>John E White Elementary School</t>
  </si>
  <si>
    <t>Laura N. Banks Elementary</t>
  </si>
  <si>
    <t>Lineweaver Elementary School</t>
  </si>
  <si>
    <t>Lynn Urquides</t>
  </si>
  <si>
    <t>Magee Middle School</t>
  </si>
  <si>
    <t>Maldonado Amelia Elementary School</t>
  </si>
  <si>
    <t>Mansfeld Middle Magnet School</t>
  </si>
  <si>
    <t>Manzo Elementary School</t>
  </si>
  <si>
    <t>Marshall Elementary School</t>
  </si>
  <si>
    <t>Mary Meredith K-12 School</t>
  </si>
  <si>
    <t>McCorkle PK-8</t>
  </si>
  <si>
    <t>Miles-Exploratory Learning Center</t>
  </si>
  <si>
    <t>Miller Elementary School</t>
  </si>
  <si>
    <t>Mission View Elementary School</t>
  </si>
  <si>
    <t>Morgan Maxwell School</t>
  </si>
  <si>
    <t>Myers-Ganoung Elementary School</t>
  </si>
  <si>
    <t>Ochoa Elementary School</t>
  </si>
  <si>
    <t>Palo Verde High Magnet School</t>
  </si>
  <si>
    <t>Pistor Middle School</t>
  </si>
  <si>
    <t>Project More High School</t>
  </si>
  <si>
    <t>Pueblo Gardens Elementary</t>
  </si>
  <si>
    <t>Pueblo High School</t>
  </si>
  <si>
    <t>Raul Grijalva Elementary School</t>
  </si>
  <si>
    <t>Rincon High School</t>
  </si>
  <si>
    <t>Roberts Naylor</t>
  </si>
  <si>
    <t>Robins Elementary School</t>
  </si>
  <si>
    <t>Robison Elementary School</t>
  </si>
  <si>
    <t>Roskruge Bilingual Magnet Middle School</t>
  </si>
  <si>
    <t>Sabino High School</t>
  </si>
  <si>
    <t>Safford K-8 School</t>
  </si>
  <si>
    <t>Sahuaro High School</t>
  </si>
  <si>
    <t>Sam Hughes Elementary</t>
  </si>
  <si>
    <t>Santa Rita High School</t>
  </si>
  <si>
    <t>Secrist Middle School</t>
  </si>
  <si>
    <t>Soleng Tom Elementary School</t>
  </si>
  <si>
    <t>Teenage Parent Program - TAPP</t>
  </si>
  <si>
    <t>Tolson Elementary School</t>
  </si>
  <si>
    <t>Tucson Magnet High School</t>
  </si>
  <si>
    <t>Tully Elementary Accelerated Magnet School</t>
  </si>
  <si>
    <t>Utterback Middle School</t>
  </si>
  <si>
    <t>Valencia Middle School</t>
  </si>
  <si>
    <t>Van Buskirk Elementary School</t>
  </si>
  <si>
    <t>Vesey Elementary School</t>
  </si>
  <si>
    <t>W Arthur Sewel Elementary School</t>
  </si>
  <si>
    <t>W V Whitmore Elementary School</t>
  </si>
  <si>
    <t>Wakefield Middle School</t>
  </si>
  <si>
    <t>Wheeler Elementary School</t>
  </si>
  <si>
    <t>Tucson Youth Development/ACE Charter High School</t>
  </si>
  <si>
    <t>Alternative Computerized Education (ACE) Charter High School</t>
  </si>
  <si>
    <t>Youth Works Charter High School</t>
  </si>
  <si>
    <t>Union Elementary District</t>
  </si>
  <si>
    <t>Dos Rios Elementary</t>
  </si>
  <si>
    <t>Hurley Ranch Elementary</t>
  </si>
  <si>
    <t>Union Elementary School</t>
  </si>
  <si>
    <t>Vail Unified District</t>
  </si>
  <si>
    <t>Acacia Elementary School</t>
  </si>
  <si>
    <t>Andrada Polytechnic High School</t>
  </si>
  <si>
    <t>Cienega High School</t>
  </si>
  <si>
    <t>Copper Ridge Elementary</t>
  </si>
  <si>
    <t>Corona Foothills Middle School</t>
  </si>
  <si>
    <t>Empire High School</t>
  </si>
  <si>
    <t>Esmond Station School</t>
  </si>
  <si>
    <t>Mica Mountain High</t>
  </si>
  <si>
    <t>Ocotillo Ridge Elementary</t>
  </si>
  <si>
    <t>Old Vail Middle School</t>
  </si>
  <si>
    <t>Pantano High School</t>
  </si>
  <si>
    <t>Rincon Vista Middle School</t>
  </si>
  <si>
    <t>Senita Valley Elementary School</t>
  </si>
  <si>
    <t>Sycamore Elementary School</t>
  </si>
  <si>
    <t>Vail Academy &amp;amp; High School</t>
  </si>
  <si>
    <t>Vernon Elementary District</t>
  </si>
  <si>
    <t>Vernon Elementary School</t>
  </si>
  <si>
    <t>Victory Collegiate Academy Corporation</t>
  </si>
  <si>
    <t>Victory Collegiate Academy</t>
  </si>
  <si>
    <t>Vista College Preparatory, Inc.</t>
  </si>
  <si>
    <t>Vista College Prep - Maryvale</t>
  </si>
  <si>
    <t>Vista College Prep - Sueno Park</t>
  </si>
  <si>
    <t>Vista College Preparatory - Hadley</t>
  </si>
  <si>
    <t>Vista College Preparatory - Metro North Elementary</t>
  </si>
  <si>
    <t>Vista College Preparatory - Metro North Middle</t>
  </si>
  <si>
    <t>Washington Elementary School District</t>
  </si>
  <si>
    <t>Abraham Lincoln Traditional School</t>
  </si>
  <si>
    <t>Alta Vista Elementary School</t>
  </si>
  <si>
    <t>Arroyo Elementary School</t>
  </si>
  <si>
    <t>Cactus Wren Elementary School</t>
  </si>
  <si>
    <t>Cholla Middle School</t>
  </si>
  <si>
    <t>Desert Foothills Middle School</t>
  </si>
  <si>
    <t>Desert View Elementary School</t>
  </si>
  <si>
    <t>John Jacobs Elementary School</t>
  </si>
  <si>
    <t>Lakeview Elementary School</t>
  </si>
  <si>
    <t>Lookout Mountain School</t>
  </si>
  <si>
    <t>Manzanita Elementary School</t>
  </si>
  <si>
    <t>Maryland Elementary School</t>
  </si>
  <si>
    <t>Moon Mountain School</t>
  </si>
  <si>
    <t>Mountain Sky Middle School</t>
  </si>
  <si>
    <t>Ocotillo School</t>
  </si>
  <si>
    <t>Orangewood School</t>
  </si>
  <si>
    <t>Palo Verde Middle School</t>
  </si>
  <si>
    <t>Richard E Miller School</t>
  </si>
  <si>
    <t>Royal Palm Middle School</t>
  </si>
  <si>
    <t>Sahuaro School</t>
  </si>
  <si>
    <t>Shaw Butte School</t>
  </si>
  <si>
    <t>Sunburst School</t>
  </si>
  <si>
    <t>Sunnyslope Elementary School</t>
  </si>
  <si>
    <t>Sweetwater School</t>
  </si>
  <si>
    <t>Tumbleweed Elementary School</t>
  </si>
  <si>
    <t>Wellton Elementary District</t>
  </si>
  <si>
    <t>Wellton Elementary School</t>
  </si>
  <si>
    <t>Wenden Elementary District</t>
  </si>
  <si>
    <t>Wenden Elementary School</t>
  </si>
  <si>
    <t>West Gilbert Charter Elementary School, Inc.</t>
  </si>
  <si>
    <t>Imagine Schools at Buckeye</t>
  </si>
  <si>
    <t>West Valley Arts and Technology Academy, Inc.</t>
  </si>
  <si>
    <t>Riverbend Prep</t>
  </si>
  <si>
    <t>Western School of Science and Technology, Inc.</t>
  </si>
  <si>
    <t>Western School of Science and Technology</t>
  </si>
  <si>
    <t>Whiteriver Unified District</t>
  </si>
  <si>
    <t>Alchesay High School</t>
  </si>
  <si>
    <t>Canyon Day Junior High School</t>
  </si>
  <si>
    <t>Cradleboard School</t>
  </si>
  <si>
    <t>Seven Mile School</t>
  </si>
  <si>
    <t>Whiteriver Elementary</t>
  </si>
  <si>
    <t>Wickenburg Unified District</t>
  </si>
  <si>
    <t>Festival Foothills Elementary School</t>
  </si>
  <si>
    <t>Hassayampa Elementary School</t>
  </si>
  <si>
    <t>Vulture Peak Middle School</t>
  </si>
  <si>
    <t>Wickenburg High School</t>
  </si>
  <si>
    <t>Wide Ruins Community School</t>
  </si>
  <si>
    <t>Willcox Unified District</t>
  </si>
  <si>
    <t>Willcox Elementary School</t>
  </si>
  <si>
    <t>Willcox High School</t>
  </si>
  <si>
    <t>Willcox Middle School</t>
  </si>
  <si>
    <t>Williams Unified District</t>
  </si>
  <si>
    <t>Williams Elementary/Middle School</t>
  </si>
  <si>
    <t>Williams High School</t>
  </si>
  <si>
    <t>Wilson Elementary District</t>
  </si>
  <si>
    <t>Wilson Primary School</t>
  </si>
  <si>
    <t>Window Rock Unified District</t>
  </si>
  <si>
    <t>Tsehootsooi Dine Bi'Olta</t>
  </si>
  <si>
    <t>Tsehootsooi Intermediate Learning Center</t>
  </si>
  <si>
    <t>Tsehootsooi Middle School</t>
  </si>
  <si>
    <t>Tsehootsooi Primary Learning Center</t>
  </si>
  <si>
    <t>Window Rock High School</t>
  </si>
  <si>
    <t>Winslow Residential Hall Inc.</t>
  </si>
  <si>
    <t>Winslow Residential Hall</t>
  </si>
  <si>
    <t>Winslow Unified District</t>
  </si>
  <si>
    <t>Bonnie Brennan School</t>
  </si>
  <si>
    <t>Washington School</t>
  </si>
  <si>
    <t>Winslow High School</t>
  </si>
  <si>
    <t>Winslow Junior High School</t>
  </si>
  <si>
    <t>Yarnell Elementary District</t>
  </si>
  <si>
    <t>Yarnell Elementary School</t>
  </si>
  <si>
    <t>Yavapai County Juvenile Justice Center</t>
  </si>
  <si>
    <t>Prescott Lakes Parkway School</t>
  </si>
  <si>
    <t>Youth Development Institute</t>
  </si>
  <si>
    <t>Yucca Elementary District</t>
  </si>
  <si>
    <t>Yucca Elementary School</t>
  </si>
  <si>
    <t>Yuma County Juvenile Justice Center</t>
  </si>
  <si>
    <t>Yuma County Juvenile Detention Center</t>
  </si>
  <si>
    <t>Yuma Elementary District</t>
  </si>
  <si>
    <t>Alice Byrne Elementary School</t>
  </si>
  <si>
    <t>C W Mcgraw Elementary School</t>
  </si>
  <si>
    <t>Castle Dome Middle School</t>
  </si>
  <si>
    <t>Desert Mesa Elementary School</t>
  </si>
  <si>
    <t>Dorothy Hall Elementary</t>
  </si>
  <si>
    <t>Fourth Avenue Junior High School</t>
  </si>
  <si>
    <t>George Washington Carver Elementary School</t>
  </si>
  <si>
    <t>Gila Vista Jr High School</t>
  </si>
  <si>
    <t>James B Rolle School</t>
  </si>
  <si>
    <t>Mary A Otondo Elementary School</t>
  </si>
  <si>
    <t>O C Johnson School</t>
  </si>
  <si>
    <t>Palmcroft Elementary School</t>
  </si>
  <si>
    <t>Pecan Grove Elementary School</t>
  </si>
  <si>
    <t>R Pete Woodard Jr High School</t>
  </si>
  <si>
    <t>Ron Watson Middle School</t>
  </si>
  <si>
    <t>Roosevelt School</t>
  </si>
  <si>
    <t>Yuma Private Industry Council, Inc.</t>
  </si>
  <si>
    <t>Educational Opportunity Center Charter High School</t>
  </si>
  <si>
    <t>Yuma Union High School District</t>
  </si>
  <si>
    <t>Cibola High School</t>
  </si>
  <si>
    <t>Gila Ridge High School</t>
  </si>
  <si>
    <t>Kofa High School</t>
  </si>
  <si>
    <t>San Luis High School</t>
  </si>
  <si>
    <t>Somerton High School</t>
  </si>
  <si>
    <t>Vista High School</t>
  </si>
  <si>
    <t>Yuma High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</si>
</sst>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4"/>
      <color theme="1"/>
      <name val="Arial"/>
      <family val="2"/>
    </font>
    <font>
      <sz val="12"/>
      <color theme="1"/>
      <name val="Arial"/>
      <family val="2"/>
    </font>
    <font>
      <sz val="12"/>
      <color rgb="FF000000"/>
      <name val="Arial"/>
      <family val="2"/>
    </font>
    <font>
      <u/>
      <sz val="12"/>
      <color rgb="FF012169"/>
      <name val="Arial"/>
      <family val="2"/>
    </font>
    <font>
      <b/>
      <sz val="14"/>
      <color theme="0"/>
      <name val="Arial"/>
      <family val="2"/>
    </font>
    <font>
      <sz val="11"/>
      <color theme="1"/>
      <name val="Arial"/>
      <family val="2"/>
    </font>
    <font>
      <b/>
      <sz val="11"/>
      <color theme="1"/>
      <name val="Arial"/>
      <family val="2"/>
    </font>
    <font>
      <sz val="11"/>
      <color theme="1"/>
      <name val="Montserrat ExtraBold"/>
    </font>
    <font>
      <u/>
      <sz val="11"/>
      <color theme="10"/>
      <name val="Calibri"/>
      <family val="2"/>
      <scheme val="minor"/>
    </font>
    <font>
      <sz val="11"/>
      <color theme="1"/>
      <name val="Calibri"/>
      <family val="2"/>
      <scheme val="minor"/>
    </font>
  </fonts>
  <fills count="4">
    <fill>
      <patternFill patternType="none"/>
    </fill>
    <fill>
      <patternFill patternType="gray125"/>
    </fill>
    <fill>
      <patternFill patternType="solid">
        <fgColor rgb="FF012169"/>
        <bgColor indexed="64"/>
      </patternFill>
    </fill>
    <fill>
      <patternFill patternType="solid">
        <fgColor theme="0"/>
        <bgColor indexed="64"/>
      </patternFill>
    </fill>
  </fills>
  <borders count="5">
    <border>
      <left/>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bottom style="medium">
        <color indexed="64"/>
      </bottom>
      <diagonal/>
    </border>
  </borders>
  <cellStyleXfs count="3">
    <xf numFmtId="0" fontId="0" fillId="0" borderId="0"/>
    <xf numFmtId="0" fontId="9" fillId="0" borderId="0" applyNumberFormat="0" applyFill="0" applyBorder="0" applyAlignment="0" applyProtection="0"/>
    <xf numFmtId="9" fontId="10" fillId="0" borderId="0" applyFont="0" applyFill="0" applyBorder="0" applyAlignment="0" applyProtection="0"/>
  </cellStyleXfs>
  <cellXfs count="15">
    <xf numFmtId="0" fontId="0" fillId="0" borderId="0" xfId="0"/>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9" fontId="5" fillId="2" borderId="3" xfId="0" applyNumberFormat="1" applyFont="1" applyFill="1" applyBorder="1" applyAlignment="1">
      <alignment horizontal="right" vertical="center" wrapText="1"/>
    </xf>
    <xf numFmtId="0" fontId="1" fillId="0" borderId="0" xfId="0" applyFont="1" applyAlignment="1">
      <alignment horizontal="center" wrapText="1"/>
    </xf>
    <xf numFmtId="0" fontId="6" fillId="0" borderId="0" xfId="0" applyFont="1" applyAlignment="1">
      <alignment horizontal="left" wrapText="1"/>
    </xf>
    <xf numFmtId="0" fontId="7" fillId="3" borderId="0" xfId="0" applyFont="1" applyFill="1" applyAlignment="1">
      <alignment horizontal="left" wrapText="1"/>
    </xf>
    <xf numFmtId="0" fontId="6" fillId="0" borderId="0" xfId="0" applyFont="1" applyAlignment="1">
      <alignment wrapText="1"/>
    </xf>
    <xf numFmtId="9" fontId="6" fillId="0" borderId="0" xfId="0" applyNumberFormat="1" applyFont="1" applyAlignment="1">
      <alignment horizontal="right" wrapText="1"/>
    </xf>
    <xf numFmtId="0" fontId="6" fillId="0" borderId="0" xfId="0" applyFont="1" applyAlignment="1">
      <alignment vertical="center" wrapText="1"/>
    </xf>
    <xf numFmtId="0" fontId="8" fillId="0" borderId="0" xfId="0" applyFont="1" applyAlignment="1">
      <alignment horizontal="left" vertical="center"/>
    </xf>
    <xf numFmtId="9" fontId="6" fillId="0" borderId="0" xfId="2" applyFont="1" applyAlignment="1">
      <alignment horizontal="right" wrapText="1"/>
    </xf>
    <xf numFmtId="9" fontId="6" fillId="0" borderId="0" xfId="2" applyFont="1" applyFill="1" applyAlignment="1">
      <alignment horizontal="right" wrapText="1"/>
    </xf>
    <xf numFmtId="0" fontId="9" fillId="0" borderId="0" xfId="1" applyFill="1"/>
    <xf numFmtId="0" fontId="2" fillId="0" borderId="4" xfId="0" applyFont="1" applyBorder="1" applyAlignment="1">
      <alignment horizontal="left" vertical="center" wrapText="1"/>
    </xf>
  </cellXfs>
  <cellStyles count="3">
    <cellStyle name="Hyperlink" xfId="1"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1722755</xdr:colOff>
      <xdr:row>0</xdr:row>
      <xdr:rowOff>129540</xdr:rowOff>
    </xdr:from>
    <xdr:to>
      <xdr:col>0</xdr:col>
      <xdr:colOff>2658745</xdr:colOff>
      <xdr:row>0</xdr:row>
      <xdr:rowOff>1037590</xdr:rowOff>
    </xdr:to>
    <xdr:pic>
      <xdr:nvPicPr>
        <xdr:cNvPr id="3" name="Picture 2">
          <a:extLst>
            <a:ext uri="{FF2B5EF4-FFF2-40B4-BE49-F238E27FC236}">
              <a16:creationId xmlns:a16="http://schemas.microsoft.com/office/drawing/2014/main" id="{F6D6401B-7F66-44FC-B0E8-089E88A69E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22755" y="129540"/>
          <a:ext cx="929640" cy="914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azed.gov/sites/default/files/2025/03/Free%20and%20Reduced-Price%20Percentage%20Report%20Narrative.pdf" TargetMode="External"/><Relationship Id="rId1" Type="http://schemas.openxmlformats.org/officeDocument/2006/relationships/hyperlink" Target="https://www.azed.gov/sites/default/files/2025/01/Free%20and%20Reduced-Price%20Percentage%20Report%20for%20School%20Nutrition%20Programs.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56359-912F-49C4-A8D4-50781F391EC5}">
  <dimension ref="A2:A4"/>
  <sheetViews>
    <sheetView tabSelected="1" workbookViewId="0">
      <selection activeCell="A4" sqref="A4"/>
    </sheetView>
  </sheetViews>
  <sheetFormatPr defaultRowHeight="15"/>
  <cols>
    <col min="1" max="1" width="69.85546875" customWidth="1"/>
  </cols>
  <sheetData>
    <row r="2" spans="1:1" ht="27.95" customHeight="1">
      <c r="A2" s="10" t="s">
        <v>0</v>
      </c>
    </row>
    <row r="3" spans="1:1" ht="52.5" customHeight="1">
      <c r="A3" s="9" t="s">
        <v>1</v>
      </c>
    </row>
    <row r="4" spans="1:1" ht="21.95" customHeight="1">
      <c r="A4" s="13" t="s">
        <v>2</v>
      </c>
    </row>
  </sheetData>
  <hyperlinks>
    <hyperlink ref="A3" r:id="rId1" display="Please read the Free and Reduced-Price Percentage Report for important details on the purpose, formulas, and considerations when reading these data, and how to read the report. " xr:uid="{FB08629F-6041-469A-B397-1A35156B1455}"/>
    <hyperlink ref="A4" r:id="rId2" xr:uid="{3CDCBC4B-87AC-458E-A4BA-2B844E6FFF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084E4-976C-456F-BFF2-21508C35F0B2}">
  <sheetPr>
    <pageSetUpPr fitToPage="1"/>
  </sheetPr>
  <dimension ref="A1:I1798"/>
  <sheetViews>
    <sheetView zoomScale="90" zoomScaleNormal="90" workbookViewId="0">
      <pane ySplit="2" topLeftCell="A3" activePane="bottomLeft" state="frozen"/>
      <selection pane="bottomLeft" activeCell="D3" sqref="D3"/>
    </sheetView>
  </sheetViews>
  <sheetFormatPr defaultColWidth="147.5703125" defaultRowHeight="14.25"/>
  <cols>
    <col min="1" max="1" width="56" style="7" customWidth="1"/>
    <col min="2" max="2" width="17.5703125" style="7" customWidth="1"/>
    <col min="3" max="3" width="16.140625" style="7" customWidth="1"/>
    <col min="4" max="4" width="35" style="7" customWidth="1"/>
    <col min="5" max="5" width="16.42578125" style="7" customWidth="1"/>
    <col min="6" max="6" width="15.85546875" style="7" customWidth="1"/>
    <col min="7" max="7" width="26.85546875" style="7" customWidth="1"/>
    <col min="8" max="8" width="18.85546875" style="7" customWidth="1"/>
    <col min="9" max="9" width="23.5703125" style="8" customWidth="1"/>
    <col min="10" max="16384" width="147.5703125" style="7"/>
  </cols>
  <sheetData>
    <row r="1" spans="1:9" s="5" customFormat="1" ht="105.75" customHeight="1" thickBot="1">
      <c r="A1" s="4" t="s">
        <v>3</v>
      </c>
      <c r="B1" s="14" t="s">
        <v>4</v>
      </c>
      <c r="C1" s="14"/>
      <c r="D1" s="14"/>
      <c r="E1" s="14"/>
      <c r="F1" s="14"/>
      <c r="G1" s="14"/>
      <c r="H1" s="14"/>
      <c r="I1" s="14"/>
    </row>
    <row r="2" spans="1:9" s="6" customFormat="1" ht="90.6" customHeight="1" thickBot="1">
      <c r="A2" s="1" t="s">
        <v>5</v>
      </c>
      <c r="B2" s="2" t="s">
        <v>6</v>
      </c>
      <c r="C2" s="2" t="s">
        <v>7</v>
      </c>
      <c r="D2" s="2" t="s">
        <v>8</v>
      </c>
      <c r="E2" s="2" t="s">
        <v>9</v>
      </c>
      <c r="F2" s="2" t="s">
        <v>10</v>
      </c>
      <c r="G2" s="2" t="s">
        <v>11</v>
      </c>
      <c r="H2" s="2" t="s">
        <v>12</v>
      </c>
      <c r="I2" s="3" t="s">
        <v>13</v>
      </c>
    </row>
    <row r="3" spans="1:9" ht="28.5">
      <c r="A3" s="7" t="s">
        <v>14</v>
      </c>
      <c r="B3" s="7">
        <v>90199</v>
      </c>
      <c r="C3" s="7" t="str">
        <f>"108734000"</f>
        <v>108734000</v>
      </c>
      <c r="D3" s="7" t="s">
        <v>15</v>
      </c>
      <c r="E3" s="7">
        <v>90200</v>
      </c>
      <c r="F3" s="7" t="str">
        <f>"108734001"</f>
        <v>108734001</v>
      </c>
      <c r="G3" s="7" t="s">
        <v>16</v>
      </c>
      <c r="H3" s="7">
        <v>170</v>
      </c>
      <c r="I3" s="11" t="s">
        <v>17</v>
      </c>
    </row>
    <row r="4" spans="1:9">
      <c r="A4" s="7" t="s">
        <v>14</v>
      </c>
      <c r="B4" s="7">
        <v>90199</v>
      </c>
      <c r="C4" s="7" t="str">
        <f>"108734000"</f>
        <v>108734000</v>
      </c>
      <c r="D4" s="7" t="s">
        <v>18</v>
      </c>
      <c r="E4" s="7">
        <v>90770</v>
      </c>
      <c r="F4" s="7" t="str">
        <f>"108734002"</f>
        <v>108734002</v>
      </c>
      <c r="H4" s="7">
        <v>510</v>
      </c>
      <c r="I4" s="11">
        <v>0.77</v>
      </c>
    </row>
    <row r="5" spans="1:9" ht="28.5">
      <c r="A5" s="7" t="s">
        <v>19</v>
      </c>
      <c r="B5" s="7">
        <v>90878</v>
      </c>
      <c r="C5" s="7" t="str">
        <f t="shared" ref="C5:C10" si="0">"078242000"</f>
        <v>078242000</v>
      </c>
      <c r="D5" s="7" t="s">
        <v>20</v>
      </c>
      <c r="E5" s="7">
        <v>1000378</v>
      </c>
      <c r="F5" s="7" t="str">
        <f>"078242005"</f>
        <v>078242005</v>
      </c>
      <c r="H5" s="7">
        <v>1165</v>
      </c>
      <c r="I5" s="11">
        <v>0.75</v>
      </c>
    </row>
    <row r="6" spans="1:9" ht="28.5">
      <c r="A6" s="7" t="s">
        <v>19</v>
      </c>
      <c r="B6" s="7">
        <v>90878</v>
      </c>
      <c r="C6" s="7" t="str">
        <f t="shared" si="0"/>
        <v>078242000</v>
      </c>
      <c r="D6" s="7" t="s">
        <v>21</v>
      </c>
      <c r="E6" s="7">
        <v>911531</v>
      </c>
      <c r="F6" s="7" t="str">
        <f>"078242002"</f>
        <v>078242002</v>
      </c>
      <c r="H6" s="7">
        <v>1341</v>
      </c>
      <c r="I6" s="11">
        <v>0.81</v>
      </c>
    </row>
    <row r="7" spans="1:9" ht="28.5">
      <c r="A7" s="7" t="s">
        <v>19</v>
      </c>
      <c r="B7" s="7">
        <v>90878</v>
      </c>
      <c r="C7" s="7" t="str">
        <f t="shared" si="0"/>
        <v>078242000</v>
      </c>
      <c r="D7" s="7" t="s">
        <v>22</v>
      </c>
      <c r="E7" s="7">
        <v>1000119</v>
      </c>
      <c r="F7" s="7" t="str">
        <f>"078242004"</f>
        <v>078242004</v>
      </c>
      <c r="H7" s="7">
        <v>1243</v>
      </c>
      <c r="I7" s="11">
        <v>0.77</v>
      </c>
    </row>
    <row r="8" spans="1:9" ht="28.5">
      <c r="A8" s="7" t="s">
        <v>19</v>
      </c>
      <c r="B8" s="7">
        <v>90878</v>
      </c>
      <c r="C8" s="7" t="str">
        <f t="shared" si="0"/>
        <v>078242000</v>
      </c>
      <c r="D8" s="7" t="s">
        <v>23</v>
      </c>
      <c r="E8" s="7">
        <v>1000118</v>
      </c>
      <c r="F8" s="7" t="str">
        <f>"078242003"</f>
        <v>078242003</v>
      </c>
      <c r="G8" s="7" t="s">
        <v>16</v>
      </c>
      <c r="H8" s="7">
        <v>874</v>
      </c>
      <c r="I8" s="12">
        <v>0.65</v>
      </c>
    </row>
    <row r="9" spans="1:9" ht="28.5">
      <c r="A9" s="7" t="s">
        <v>19</v>
      </c>
      <c r="B9" s="7">
        <v>90878</v>
      </c>
      <c r="C9" s="7" t="str">
        <f t="shared" si="0"/>
        <v>078242000</v>
      </c>
      <c r="D9" s="7" t="s">
        <v>24</v>
      </c>
      <c r="E9" s="7">
        <v>1000379</v>
      </c>
      <c r="F9" s="7" t="str">
        <f>"078242006"</f>
        <v>078242006</v>
      </c>
      <c r="H9" s="7">
        <v>965</v>
      </c>
      <c r="I9" s="11">
        <v>0.75</v>
      </c>
    </row>
    <row r="10" spans="1:9" ht="28.5">
      <c r="A10" s="7" t="s">
        <v>19</v>
      </c>
      <c r="B10" s="7">
        <v>90878</v>
      </c>
      <c r="C10" s="7" t="str">
        <f t="shared" si="0"/>
        <v>078242000</v>
      </c>
      <c r="D10" s="7" t="s">
        <v>25</v>
      </c>
      <c r="E10" s="7">
        <v>92197</v>
      </c>
      <c r="F10" s="7" t="str">
        <f>"078242001"</f>
        <v>078242001</v>
      </c>
      <c r="G10" s="7" t="s">
        <v>26</v>
      </c>
      <c r="H10" s="7">
        <v>582</v>
      </c>
      <c r="I10" s="11">
        <v>0.78</v>
      </c>
    </row>
    <row r="11" spans="1:9">
      <c r="A11" s="7" t="s">
        <v>27</v>
      </c>
      <c r="B11" s="7">
        <v>79961</v>
      </c>
      <c r="C11" s="7" t="str">
        <f>"108713000"</f>
        <v>108713000</v>
      </c>
      <c r="D11" s="7" t="s">
        <v>28</v>
      </c>
      <c r="E11" s="7">
        <v>79094</v>
      </c>
      <c r="F11" s="7" t="str">
        <f>"108713101"</f>
        <v>108713101</v>
      </c>
      <c r="G11" s="7" t="s">
        <v>26</v>
      </c>
      <c r="H11" s="7">
        <v>605</v>
      </c>
      <c r="I11" s="11">
        <v>0.74</v>
      </c>
    </row>
    <row r="12" spans="1:9" ht="28.5">
      <c r="A12" s="7" t="s">
        <v>27</v>
      </c>
      <c r="B12" s="7">
        <v>92768</v>
      </c>
      <c r="C12" s="7" t="str">
        <f>"078270000"</f>
        <v>078270000</v>
      </c>
      <c r="D12" s="7" t="s">
        <v>29</v>
      </c>
      <c r="E12" s="7">
        <v>92769</v>
      </c>
      <c r="F12" s="7" t="str">
        <f>"078270001"</f>
        <v>078270001</v>
      </c>
      <c r="H12" s="7">
        <v>1066</v>
      </c>
      <c r="I12" s="11">
        <v>0.88</v>
      </c>
    </row>
    <row r="13" spans="1:9" ht="28.5">
      <c r="A13" s="7" t="s">
        <v>30</v>
      </c>
      <c r="B13" s="7">
        <v>78897</v>
      </c>
      <c r="C13" s="7" t="str">
        <f>"108665000"</f>
        <v>108665000</v>
      </c>
      <c r="D13" s="7" t="s">
        <v>31</v>
      </c>
      <c r="E13" s="7">
        <v>81130</v>
      </c>
      <c r="F13" s="7" t="str">
        <f>"108665102"</f>
        <v>108665102</v>
      </c>
      <c r="H13" s="7">
        <v>153</v>
      </c>
      <c r="I13" s="11">
        <v>0.59</v>
      </c>
    </row>
    <row r="14" spans="1:9">
      <c r="A14" s="7" t="s">
        <v>30</v>
      </c>
      <c r="B14" s="7">
        <v>78897</v>
      </c>
      <c r="C14" s="7" t="str">
        <f>"108665000"</f>
        <v>108665000</v>
      </c>
      <c r="D14" s="7" t="s">
        <v>32</v>
      </c>
      <c r="E14" s="7">
        <v>78898</v>
      </c>
      <c r="F14" s="7" t="str">
        <f>"108665201"</f>
        <v>108665201</v>
      </c>
      <c r="H14" s="7">
        <v>154</v>
      </c>
      <c r="I14" s="11">
        <v>0.42</v>
      </c>
    </row>
    <row r="15" spans="1:9">
      <c r="A15" s="7" t="s">
        <v>30</v>
      </c>
      <c r="B15" s="7">
        <v>78897</v>
      </c>
      <c r="C15" s="7" t="str">
        <f>"108665000"</f>
        <v>108665000</v>
      </c>
      <c r="D15" s="7" t="s">
        <v>33</v>
      </c>
      <c r="E15" s="7">
        <v>79986</v>
      </c>
      <c r="F15" s="7" t="str">
        <f>"108665101"</f>
        <v>108665101</v>
      </c>
      <c r="H15" s="7">
        <v>148</v>
      </c>
      <c r="I15" s="11">
        <v>0.7</v>
      </c>
    </row>
    <row r="16" spans="1:9">
      <c r="A16" s="7" t="s">
        <v>34</v>
      </c>
      <c r="B16" s="7">
        <v>7355</v>
      </c>
      <c r="C16" s="7" t="str">
        <f>"072164000"</f>
        <v>072164000</v>
      </c>
      <c r="D16" s="7" t="s">
        <v>35</v>
      </c>
      <c r="E16" s="7">
        <v>7360</v>
      </c>
      <c r="F16" s="7" t="str">
        <f>"072164005"</f>
        <v>072164005</v>
      </c>
      <c r="H16" s="7">
        <v>67</v>
      </c>
      <c r="I16" s="11">
        <v>0.49</v>
      </c>
    </row>
    <row r="17" spans="1:9">
      <c r="A17" s="7" t="s">
        <v>34</v>
      </c>
      <c r="B17" s="7">
        <v>7355</v>
      </c>
      <c r="C17" s="7" t="str">
        <f>"072164000"</f>
        <v>072164000</v>
      </c>
      <c r="D17" s="7" t="s">
        <v>36</v>
      </c>
      <c r="E17" s="7">
        <v>7356</v>
      </c>
      <c r="F17" s="7" t="str">
        <f>"072164001"</f>
        <v>072164001</v>
      </c>
      <c r="H17" s="7">
        <v>158</v>
      </c>
      <c r="I17" s="11">
        <v>0.59</v>
      </c>
    </row>
    <row r="18" spans="1:9">
      <c r="A18" s="7" t="s">
        <v>37</v>
      </c>
      <c r="B18" s="7">
        <v>4325</v>
      </c>
      <c r="C18" s="7" t="str">
        <f>"078701000"</f>
        <v>078701000</v>
      </c>
      <c r="D18" s="7" t="s">
        <v>38</v>
      </c>
      <c r="E18" s="7">
        <v>5496</v>
      </c>
      <c r="F18" s="7" t="str">
        <f>"078701101"</f>
        <v>078701101</v>
      </c>
      <c r="G18" s="7" t="s">
        <v>26</v>
      </c>
      <c r="H18" s="7">
        <v>274</v>
      </c>
      <c r="I18" s="11">
        <v>0.91</v>
      </c>
    </row>
    <row r="19" spans="1:9">
      <c r="A19" s="7" t="s">
        <v>39</v>
      </c>
      <c r="B19" s="7">
        <v>79437</v>
      </c>
      <c r="C19" s="7" t="str">
        <f>"138760000"</f>
        <v>138760000</v>
      </c>
      <c r="D19" s="7" t="s">
        <v>39</v>
      </c>
      <c r="E19" s="7">
        <v>79438</v>
      </c>
      <c r="F19" s="7" t="str">
        <f>"138760101"</f>
        <v>138760101</v>
      </c>
      <c r="H19" s="7">
        <v>278</v>
      </c>
      <c r="I19" s="11">
        <v>0.65</v>
      </c>
    </row>
    <row r="20" spans="1:9" ht="28.5">
      <c r="A20" s="7" t="s">
        <v>39</v>
      </c>
      <c r="B20" s="7">
        <v>79437</v>
      </c>
      <c r="C20" s="7" t="str">
        <f>"138760000"</f>
        <v>138760000</v>
      </c>
      <c r="D20" s="7" t="s">
        <v>40</v>
      </c>
      <c r="E20" s="7">
        <v>88180</v>
      </c>
      <c r="F20" s="7" t="str">
        <f>"138760102"</f>
        <v>138760102</v>
      </c>
      <c r="H20" s="7">
        <v>255</v>
      </c>
      <c r="I20" s="11">
        <v>0.57999999999999996</v>
      </c>
    </row>
    <row r="21" spans="1:9">
      <c r="A21" s="7" t="s">
        <v>41</v>
      </c>
      <c r="B21" s="7">
        <v>80381</v>
      </c>
      <c r="C21" s="7" t="str">
        <f>"219101000"</f>
        <v>219101000</v>
      </c>
      <c r="D21" s="7" t="s">
        <v>41</v>
      </c>
      <c r="E21" s="7">
        <v>8327</v>
      </c>
      <c r="F21" s="7" t="str">
        <f>"211001001"</f>
        <v>211001001</v>
      </c>
      <c r="H21" s="7">
        <v>130</v>
      </c>
      <c r="I21" s="11" t="s">
        <v>17</v>
      </c>
    </row>
    <row r="22" spans="1:9">
      <c r="A22" s="7" t="s">
        <v>42</v>
      </c>
      <c r="B22" s="7">
        <v>4289</v>
      </c>
      <c r="C22" s="7" t="str">
        <f>"070516000"</f>
        <v>070516000</v>
      </c>
      <c r="D22" s="7" t="s">
        <v>43</v>
      </c>
      <c r="E22" s="7">
        <v>5454</v>
      </c>
      <c r="F22" s="7" t="str">
        <f>"070516201"</f>
        <v>070516201</v>
      </c>
      <c r="H22" s="7">
        <v>1625</v>
      </c>
      <c r="I22" s="11">
        <v>0.69</v>
      </c>
    </row>
    <row r="23" spans="1:9">
      <c r="A23" s="7" t="s">
        <v>42</v>
      </c>
      <c r="B23" s="7">
        <v>4289</v>
      </c>
      <c r="C23" s="7" t="str">
        <f>"070516000"</f>
        <v>070516000</v>
      </c>
      <c r="D23" s="7" t="s">
        <v>44</v>
      </c>
      <c r="E23" s="7">
        <v>932049</v>
      </c>
      <c r="F23" s="7" t="str">
        <f>"070516206"</f>
        <v>070516206</v>
      </c>
      <c r="H23" s="7">
        <v>2012</v>
      </c>
      <c r="I23" s="11">
        <v>0.35</v>
      </c>
    </row>
    <row r="24" spans="1:9">
      <c r="A24" s="7" t="s">
        <v>42</v>
      </c>
      <c r="B24" s="7">
        <v>4289</v>
      </c>
      <c r="C24" s="7" t="str">
        <f>"070516000"</f>
        <v>070516000</v>
      </c>
      <c r="D24" s="7" t="s">
        <v>45</v>
      </c>
      <c r="E24" s="7">
        <v>79799</v>
      </c>
      <c r="F24" s="7" t="str">
        <f>"070516203"</f>
        <v>070516203</v>
      </c>
      <c r="H24" s="7">
        <v>2073</v>
      </c>
      <c r="I24" s="11">
        <v>0.57999999999999996</v>
      </c>
    </row>
    <row r="25" spans="1:9">
      <c r="A25" s="7" t="s">
        <v>42</v>
      </c>
      <c r="B25" s="7">
        <v>4289</v>
      </c>
      <c r="C25" s="7" t="str">
        <f>"070516000"</f>
        <v>070516000</v>
      </c>
      <c r="D25" s="7" t="s">
        <v>46</v>
      </c>
      <c r="E25" s="7">
        <v>78926</v>
      </c>
      <c r="F25" s="7" t="str">
        <f>"070516202"</f>
        <v>070516202</v>
      </c>
      <c r="H25" s="7">
        <v>2268</v>
      </c>
      <c r="I25" s="11">
        <v>0.32</v>
      </c>
    </row>
    <row r="26" spans="1:9">
      <c r="A26" s="7" t="s">
        <v>42</v>
      </c>
      <c r="B26" s="7">
        <v>4289</v>
      </c>
      <c r="C26" s="7" t="str">
        <f>"070516000"</f>
        <v>070516000</v>
      </c>
      <c r="D26" s="7" t="s">
        <v>47</v>
      </c>
      <c r="E26" s="7">
        <v>87903</v>
      </c>
      <c r="F26" s="7" t="str">
        <f>"070516204"</f>
        <v>070516204</v>
      </c>
      <c r="H26" s="7">
        <v>1958</v>
      </c>
      <c r="I26" s="11">
        <v>0.32</v>
      </c>
    </row>
    <row r="27" spans="1:9">
      <c r="A27" s="7" t="s">
        <v>48</v>
      </c>
      <c r="B27" s="7">
        <v>4249</v>
      </c>
      <c r="C27" s="7" t="str">
        <f>"070363000"</f>
        <v>070363000</v>
      </c>
      <c r="D27" s="7" t="s">
        <v>49</v>
      </c>
      <c r="E27" s="7">
        <v>5187</v>
      </c>
      <c r="F27" s="7" t="str">
        <f>"070363101"</f>
        <v>070363101</v>
      </c>
      <c r="H27" s="7">
        <v>130</v>
      </c>
      <c r="I27" s="11">
        <v>0.88</v>
      </c>
    </row>
    <row r="28" spans="1:9">
      <c r="A28" s="7" t="s">
        <v>50</v>
      </c>
      <c r="B28" s="7">
        <v>4409</v>
      </c>
      <c r="C28" s="7" t="str">
        <f>"100215000"</f>
        <v>100215000</v>
      </c>
      <c r="D28" s="7" t="s">
        <v>51</v>
      </c>
      <c r="E28" s="7">
        <v>5831</v>
      </c>
      <c r="F28" s="7" t="str">
        <f>"100215001"</f>
        <v>100215001</v>
      </c>
      <c r="G28" s="7" t="s">
        <v>26</v>
      </c>
      <c r="H28" s="7">
        <v>258</v>
      </c>
      <c r="I28" s="11">
        <v>0.74</v>
      </c>
    </row>
    <row r="29" spans="1:9">
      <c r="A29" s="7" t="s">
        <v>50</v>
      </c>
      <c r="B29" s="7">
        <v>4409</v>
      </c>
      <c r="C29" s="7" t="str">
        <f>"100215000"</f>
        <v>100215000</v>
      </c>
      <c r="D29" s="7" t="s">
        <v>52</v>
      </c>
      <c r="E29" s="7">
        <v>6292</v>
      </c>
      <c r="F29" s="7" t="str">
        <f>"100215002"</f>
        <v>100215002</v>
      </c>
      <c r="G29" s="7" t="s">
        <v>26</v>
      </c>
      <c r="H29" s="7">
        <v>137</v>
      </c>
      <c r="I29" s="11">
        <v>0.69</v>
      </c>
    </row>
    <row r="30" spans="1:9" ht="28.5">
      <c r="A30" s="7" t="s">
        <v>53</v>
      </c>
      <c r="B30" s="7">
        <v>4280</v>
      </c>
      <c r="C30" s="7" t="str">
        <f t="shared" ref="C30:C45" si="1">"070468000"</f>
        <v>070468000</v>
      </c>
      <c r="D30" s="7" t="s">
        <v>54</v>
      </c>
      <c r="E30" s="7">
        <v>1000261</v>
      </c>
      <c r="F30" s="7" t="str">
        <f>"070468119"</f>
        <v>070468119</v>
      </c>
      <c r="G30" s="7" t="s">
        <v>16</v>
      </c>
      <c r="H30" s="7">
        <v>169</v>
      </c>
      <c r="I30" s="11" t="s">
        <v>17</v>
      </c>
    </row>
    <row r="31" spans="1:9">
      <c r="A31" s="7" t="s">
        <v>53</v>
      </c>
      <c r="B31" s="7">
        <v>4280</v>
      </c>
      <c r="C31" s="7" t="str">
        <f t="shared" si="1"/>
        <v>070468000</v>
      </c>
      <c r="D31" s="7" t="s">
        <v>55</v>
      </c>
      <c r="E31" s="7">
        <v>5381</v>
      </c>
      <c r="F31" s="7" t="str">
        <f>"070468101"</f>
        <v>070468101</v>
      </c>
      <c r="H31" s="7">
        <v>747</v>
      </c>
      <c r="I31" s="11">
        <v>0.74</v>
      </c>
    </row>
    <row r="32" spans="1:9" ht="28.5">
      <c r="A32" s="7" t="s">
        <v>53</v>
      </c>
      <c r="B32" s="7">
        <v>4280</v>
      </c>
      <c r="C32" s="7" t="str">
        <f t="shared" si="1"/>
        <v>070468000</v>
      </c>
      <c r="D32" s="7" t="s">
        <v>56</v>
      </c>
      <c r="E32" s="7">
        <v>5384</v>
      </c>
      <c r="F32" s="7" t="str">
        <f>"070468104"</f>
        <v>070468104</v>
      </c>
      <c r="G32" s="7" t="s">
        <v>16</v>
      </c>
      <c r="H32" s="7">
        <v>882</v>
      </c>
      <c r="I32" s="12">
        <v>0.91</v>
      </c>
    </row>
    <row r="33" spans="1:9" ht="28.5">
      <c r="A33" s="7" t="s">
        <v>53</v>
      </c>
      <c r="B33" s="7">
        <v>4280</v>
      </c>
      <c r="C33" s="7" t="str">
        <f t="shared" si="1"/>
        <v>070468000</v>
      </c>
      <c r="D33" s="7" t="s">
        <v>57</v>
      </c>
      <c r="E33" s="7">
        <v>6030</v>
      </c>
      <c r="F33" s="7" t="str">
        <f>"070468105"</f>
        <v>070468105</v>
      </c>
      <c r="G33" s="7" t="s">
        <v>16</v>
      </c>
      <c r="H33" s="7">
        <v>688</v>
      </c>
      <c r="I33" s="11" t="s">
        <v>17</v>
      </c>
    </row>
    <row r="34" spans="1:9">
      <c r="A34" s="7" t="s">
        <v>53</v>
      </c>
      <c r="B34" s="7">
        <v>4280</v>
      </c>
      <c r="C34" s="7" t="str">
        <f t="shared" si="1"/>
        <v>070468000</v>
      </c>
      <c r="D34" s="7" t="s">
        <v>58</v>
      </c>
      <c r="E34" s="7">
        <v>5385</v>
      </c>
      <c r="F34" s="7" t="str">
        <f>"070468106"</f>
        <v>070468106</v>
      </c>
      <c r="H34" s="7">
        <v>905</v>
      </c>
      <c r="I34" s="11">
        <v>0.91</v>
      </c>
    </row>
    <row r="35" spans="1:9" ht="28.5">
      <c r="A35" s="7" t="s">
        <v>53</v>
      </c>
      <c r="B35" s="7">
        <v>4280</v>
      </c>
      <c r="C35" s="7" t="str">
        <f t="shared" si="1"/>
        <v>070468000</v>
      </c>
      <c r="D35" s="7" t="s">
        <v>59</v>
      </c>
      <c r="E35" s="7">
        <v>5391</v>
      </c>
      <c r="F35" s="7" t="str">
        <f>"070468113"</f>
        <v>070468113</v>
      </c>
      <c r="G35" s="7" t="s">
        <v>16</v>
      </c>
      <c r="H35" s="7">
        <v>507</v>
      </c>
      <c r="I35" s="12">
        <v>0.87</v>
      </c>
    </row>
    <row r="36" spans="1:9" ht="28.5">
      <c r="A36" s="7" t="s">
        <v>53</v>
      </c>
      <c r="B36" s="7">
        <v>4280</v>
      </c>
      <c r="C36" s="7" t="str">
        <f t="shared" si="1"/>
        <v>070468000</v>
      </c>
      <c r="D36" s="7" t="s">
        <v>60</v>
      </c>
      <c r="E36" s="7">
        <v>5386</v>
      </c>
      <c r="F36" s="7" t="str">
        <f>"070468107"</f>
        <v>070468107</v>
      </c>
      <c r="G36" s="7" t="s">
        <v>16</v>
      </c>
      <c r="H36" s="7">
        <v>675</v>
      </c>
      <c r="I36" s="12">
        <v>0.92</v>
      </c>
    </row>
    <row r="37" spans="1:9">
      <c r="A37" s="7" t="s">
        <v>53</v>
      </c>
      <c r="B37" s="7">
        <v>4280</v>
      </c>
      <c r="C37" s="7" t="str">
        <f t="shared" si="1"/>
        <v>070468000</v>
      </c>
      <c r="D37" s="7" t="s">
        <v>61</v>
      </c>
      <c r="E37" s="7">
        <v>1000259</v>
      </c>
      <c r="F37" s="7" t="str">
        <f>"070468118"</f>
        <v>070468118</v>
      </c>
      <c r="H37" s="7">
        <v>364</v>
      </c>
      <c r="I37" s="11">
        <v>0.87</v>
      </c>
    </row>
    <row r="38" spans="1:9" ht="28.5">
      <c r="A38" s="7" t="s">
        <v>53</v>
      </c>
      <c r="B38" s="7">
        <v>4280</v>
      </c>
      <c r="C38" s="7" t="str">
        <f t="shared" si="1"/>
        <v>070468000</v>
      </c>
      <c r="D38" s="7" t="s">
        <v>62</v>
      </c>
      <c r="E38" s="7">
        <v>5387</v>
      </c>
      <c r="F38" s="7" t="str">
        <f>"070468109"</f>
        <v>070468109</v>
      </c>
      <c r="H38" s="7">
        <v>700</v>
      </c>
      <c r="I38" s="11">
        <v>0.95</v>
      </c>
    </row>
    <row r="39" spans="1:9" ht="28.5">
      <c r="A39" s="7" t="s">
        <v>53</v>
      </c>
      <c r="B39" s="7">
        <v>4280</v>
      </c>
      <c r="C39" s="7" t="str">
        <f t="shared" si="1"/>
        <v>070468000</v>
      </c>
      <c r="D39" s="7" t="s">
        <v>63</v>
      </c>
      <c r="E39" s="7">
        <v>5388</v>
      </c>
      <c r="F39" s="7" t="str">
        <f>"070468110"</f>
        <v>070468110</v>
      </c>
      <c r="H39" s="7">
        <v>925</v>
      </c>
      <c r="I39" s="11">
        <v>0.97</v>
      </c>
    </row>
    <row r="40" spans="1:9">
      <c r="A40" s="7" t="s">
        <v>53</v>
      </c>
      <c r="B40" s="7">
        <v>4280</v>
      </c>
      <c r="C40" s="7" t="str">
        <f t="shared" si="1"/>
        <v>070468000</v>
      </c>
      <c r="D40" s="7" t="s">
        <v>64</v>
      </c>
      <c r="E40" s="7">
        <v>5383</v>
      </c>
      <c r="F40" s="7" t="str">
        <f>"070468103"</f>
        <v>070468103</v>
      </c>
      <c r="H40" s="7">
        <v>751</v>
      </c>
      <c r="I40" s="11">
        <v>0.94</v>
      </c>
    </row>
    <row r="41" spans="1:9">
      <c r="A41" s="7" t="s">
        <v>53</v>
      </c>
      <c r="B41" s="7">
        <v>4280</v>
      </c>
      <c r="C41" s="7" t="str">
        <f t="shared" si="1"/>
        <v>070468000</v>
      </c>
      <c r="D41" s="7" t="s">
        <v>65</v>
      </c>
      <c r="E41" s="7">
        <v>1000041</v>
      </c>
      <c r="F41" s="7" t="str">
        <f>"070468116"</f>
        <v>070468116</v>
      </c>
      <c r="H41" s="7">
        <v>615</v>
      </c>
      <c r="I41" s="11">
        <v>0.97</v>
      </c>
    </row>
    <row r="42" spans="1:9" ht="28.5">
      <c r="A42" s="7" t="s">
        <v>53</v>
      </c>
      <c r="B42" s="7">
        <v>4280</v>
      </c>
      <c r="C42" s="7" t="str">
        <f t="shared" si="1"/>
        <v>070468000</v>
      </c>
      <c r="D42" s="7" t="s">
        <v>66</v>
      </c>
      <c r="E42" s="7">
        <v>5390</v>
      </c>
      <c r="F42" s="7" t="str">
        <f>"070468112"</f>
        <v>070468112</v>
      </c>
      <c r="G42" s="7" t="s">
        <v>16</v>
      </c>
      <c r="H42" s="7">
        <v>826</v>
      </c>
      <c r="I42" s="11" t="s">
        <v>17</v>
      </c>
    </row>
    <row r="43" spans="1:9" ht="28.5">
      <c r="A43" s="7" t="s">
        <v>53</v>
      </c>
      <c r="B43" s="7">
        <v>4280</v>
      </c>
      <c r="C43" s="7" t="str">
        <f t="shared" si="1"/>
        <v>070468000</v>
      </c>
      <c r="D43" s="7" t="s">
        <v>67</v>
      </c>
      <c r="E43" s="7">
        <v>79203</v>
      </c>
      <c r="F43" s="7" t="str">
        <f>"070468115"</f>
        <v>070468115</v>
      </c>
      <c r="H43" s="7">
        <v>695</v>
      </c>
      <c r="I43" s="11">
        <v>0.95</v>
      </c>
    </row>
    <row r="44" spans="1:9">
      <c r="A44" s="7" t="s">
        <v>53</v>
      </c>
      <c r="B44" s="7">
        <v>4280</v>
      </c>
      <c r="C44" s="7" t="str">
        <f t="shared" si="1"/>
        <v>070468000</v>
      </c>
      <c r="D44" s="7" t="s">
        <v>68</v>
      </c>
      <c r="E44" s="7">
        <v>1000042</v>
      </c>
      <c r="F44" s="7" t="str">
        <f>"070468117"</f>
        <v>070468117</v>
      </c>
      <c r="H44" s="7">
        <v>175</v>
      </c>
      <c r="I44" s="11">
        <v>0.93</v>
      </c>
    </row>
    <row r="45" spans="1:9" ht="28.5">
      <c r="A45" s="7" t="s">
        <v>53</v>
      </c>
      <c r="B45" s="7">
        <v>4280</v>
      </c>
      <c r="C45" s="7" t="str">
        <f t="shared" si="1"/>
        <v>070468000</v>
      </c>
      <c r="D45" s="7" t="s">
        <v>69</v>
      </c>
      <c r="E45" s="7">
        <v>5392</v>
      </c>
      <c r="F45" s="7" t="str">
        <f>"070468114"</f>
        <v>070468114</v>
      </c>
      <c r="G45" s="7" t="s">
        <v>16</v>
      </c>
      <c r="H45" s="7">
        <v>724</v>
      </c>
      <c r="I45" s="11" t="s">
        <v>17</v>
      </c>
    </row>
    <row r="46" spans="1:9" ht="28.5">
      <c r="A46" s="7" t="s">
        <v>70</v>
      </c>
      <c r="B46" s="7">
        <v>4418</v>
      </c>
      <c r="C46" s="7" t="str">
        <f>"100351000"</f>
        <v>100351000</v>
      </c>
      <c r="D46" s="7" t="s">
        <v>71</v>
      </c>
      <c r="E46" s="7">
        <v>5859</v>
      </c>
      <c r="F46" s="7" t="str">
        <f>"100351103"</f>
        <v>100351103</v>
      </c>
      <c r="G46" s="7" t="s">
        <v>16</v>
      </c>
      <c r="H46" s="7">
        <v>178</v>
      </c>
      <c r="I46" s="11">
        <v>0.9</v>
      </c>
    </row>
    <row r="47" spans="1:9" ht="28.5">
      <c r="A47" s="7" t="s">
        <v>70</v>
      </c>
      <c r="B47" s="7">
        <v>4418</v>
      </c>
      <c r="C47" s="7" t="str">
        <f>"100351000"</f>
        <v>100351000</v>
      </c>
      <c r="D47" s="7" t="s">
        <v>72</v>
      </c>
      <c r="E47" s="7">
        <v>84336</v>
      </c>
      <c r="F47" s="7" t="str">
        <f>"100351100"</f>
        <v>100351100</v>
      </c>
      <c r="G47" s="7" t="s">
        <v>16</v>
      </c>
      <c r="H47" s="7">
        <v>373</v>
      </c>
      <c r="I47" s="11">
        <v>0.97</v>
      </c>
    </row>
    <row r="48" spans="1:9" ht="28.5">
      <c r="A48" s="7" t="s">
        <v>73</v>
      </c>
      <c r="B48" s="7">
        <v>80995</v>
      </c>
      <c r="C48" s="7" t="str">
        <f>"108794000"</f>
        <v>108794000</v>
      </c>
      <c r="D48" s="7" t="s">
        <v>74</v>
      </c>
      <c r="E48" s="7">
        <v>80996</v>
      </c>
      <c r="F48" s="7" t="str">
        <f>"108794201"</f>
        <v>108794201</v>
      </c>
      <c r="G48" s="7" t="s">
        <v>26</v>
      </c>
      <c r="H48" s="7">
        <v>478</v>
      </c>
      <c r="I48" s="11">
        <v>0.86</v>
      </c>
    </row>
    <row r="49" spans="1:9" ht="28.5">
      <c r="A49" s="7" t="s">
        <v>75</v>
      </c>
      <c r="B49" s="7">
        <v>79883</v>
      </c>
      <c r="C49" s="7" t="str">
        <f>"118703000"</f>
        <v>118703000</v>
      </c>
      <c r="D49" s="7" t="s">
        <v>76</v>
      </c>
      <c r="E49" s="7">
        <v>6346</v>
      </c>
      <c r="F49" s="7" t="str">
        <f>"118703001"</f>
        <v>118703001</v>
      </c>
      <c r="G49" s="7" t="s">
        <v>16</v>
      </c>
      <c r="H49" s="7">
        <v>226</v>
      </c>
      <c r="I49" s="12">
        <v>0.78</v>
      </c>
    </row>
    <row r="50" spans="1:9" ht="28.5">
      <c r="A50" s="7" t="s">
        <v>77</v>
      </c>
      <c r="B50" s="7">
        <v>79874</v>
      </c>
      <c r="C50" s="7" t="str">
        <f>"078950000"</f>
        <v>078950000</v>
      </c>
      <c r="D50" s="7" t="s">
        <v>78</v>
      </c>
      <c r="E50" s="7">
        <v>78813</v>
      </c>
      <c r="F50" s="7" t="str">
        <f>"078950001"</f>
        <v>078950001</v>
      </c>
      <c r="G50" s="7" t="s">
        <v>16</v>
      </c>
      <c r="H50" s="7">
        <v>268</v>
      </c>
      <c r="I50" s="12">
        <v>0.74</v>
      </c>
    </row>
    <row r="51" spans="1:9" ht="28.5">
      <c r="A51" s="7" t="s">
        <v>79</v>
      </c>
      <c r="B51" s="7">
        <v>79872</v>
      </c>
      <c r="C51" s="7" t="str">
        <f>"078947000"</f>
        <v>078947000</v>
      </c>
      <c r="D51" s="7" t="s">
        <v>80</v>
      </c>
      <c r="E51" s="7">
        <v>78901</v>
      </c>
      <c r="F51" s="7" t="str">
        <f>"078947001"</f>
        <v>078947001</v>
      </c>
      <c r="H51" s="7">
        <v>268</v>
      </c>
      <c r="I51" s="11">
        <v>0.56999999999999995</v>
      </c>
    </row>
    <row r="52" spans="1:9" ht="28.5">
      <c r="A52" s="7" t="s">
        <v>81</v>
      </c>
      <c r="B52" s="7">
        <v>79873</v>
      </c>
      <c r="C52" s="7" t="str">
        <f>"078948000"</f>
        <v>078948000</v>
      </c>
      <c r="D52" s="7" t="s">
        <v>82</v>
      </c>
      <c r="E52" s="7">
        <v>78900</v>
      </c>
      <c r="F52" s="7" t="str">
        <f>"078948001"</f>
        <v>078948001</v>
      </c>
      <c r="H52" s="7">
        <v>141</v>
      </c>
      <c r="I52" s="11">
        <v>0.6</v>
      </c>
    </row>
    <row r="53" spans="1:9" ht="28.5">
      <c r="A53" s="7" t="s">
        <v>83</v>
      </c>
      <c r="B53" s="7">
        <v>79875</v>
      </c>
      <c r="C53" s="7" t="str">
        <f>"078951000"</f>
        <v>078951000</v>
      </c>
      <c r="D53" s="7" t="s">
        <v>84</v>
      </c>
      <c r="E53" s="7">
        <v>78817</v>
      </c>
      <c r="F53" s="7" t="str">
        <f>"078951001"</f>
        <v>078951001</v>
      </c>
      <c r="H53" s="7">
        <v>545</v>
      </c>
      <c r="I53" s="11">
        <v>0.83</v>
      </c>
    </row>
    <row r="54" spans="1:9" ht="28.5">
      <c r="A54" s="7" t="s">
        <v>85</v>
      </c>
      <c r="B54" s="7">
        <v>80989</v>
      </c>
      <c r="C54" s="7" t="str">
        <f>"078983000"</f>
        <v>078983000</v>
      </c>
      <c r="D54" s="7" t="s">
        <v>86</v>
      </c>
      <c r="E54" s="7">
        <v>80990</v>
      </c>
      <c r="F54" s="7" t="str">
        <f>"078983201"</f>
        <v>078983201</v>
      </c>
      <c r="G54" s="7" t="s">
        <v>16</v>
      </c>
      <c r="H54" s="7">
        <v>747</v>
      </c>
      <c r="I54" s="11">
        <v>0.93</v>
      </c>
    </row>
    <row r="55" spans="1:9" ht="28.5">
      <c r="A55" s="7" t="s">
        <v>87</v>
      </c>
      <c r="B55" s="7">
        <v>88334</v>
      </c>
      <c r="C55" s="7" t="str">
        <f>"078517000"</f>
        <v>078517000</v>
      </c>
      <c r="D55" s="7" t="s">
        <v>88</v>
      </c>
      <c r="E55" s="7">
        <v>88335</v>
      </c>
      <c r="F55" s="7" t="str">
        <f>"078517201"</f>
        <v>078517201</v>
      </c>
      <c r="G55" s="7" t="s">
        <v>26</v>
      </c>
      <c r="H55" s="7">
        <v>381</v>
      </c>
      <c r="I55" s="11">
        <v>0.7</v>
      </c>
    </row>
    <row r="56" spans="1:9" ht="28.5">
      <c r="A56" s="7" t="s">
        <v>89</v>
      </c>
      <c r="B56" s="7">
        <v>79877</v>
      </c>
      <c r="C56" s="7" t="str">
        <f>"078953000"</f>
        <v>078953000</v>
      </c>
      <c r="D56" s="7" t="s">
        <v>90</v>
      </c>
      <c r="E56" s="7">
        <v>6347</v>
      </c>
      <c r="F56" s="7" t="str">
        <f>"078953001"</f>
        <v>078953001</v>
      </c>
      <c r="G56" s="7" t="s">
        <v>16</v>
      </c>
      <c r="H56" s="7">
        <v>405</v>
      </c>
      <c r="I56" s="11">
        <v>0.95</v>
      </c>
    </row>
    <row r="57" spans="1:9" ht="28.5">
      <c r="A57" s="7" t="s">
        <v>91</v>
      </c>
      <c r="B57" s="7">
        <v>79879</v>
      </c>
      <c r="C57" s="7" t="str">
        <f>"078956000"</f>
        <v>078956000</v>
      </c>
      <c r="D57" s="7" t="s">
        <v>92</v>
      </c>
      <c r="E57" s="7">
        <v>6348</v>
      </c>
      <c r="F57" s="7" t="str">
        <f>"078956001"</f>
        <v>078956001</v>
      </c>
      <c r="G57" s="7" t="s">
        <v>16</v>
      </c>
      <c r="H57" s="7">
        <v>427</v>
      </c>
      <c r="I57" s="12">
        <v>0.83</v>
      </c>
    </row>
    <row r="58" spans="1:9" ht="28.5">
      <c r="A58" s="7" t="s">
        <v>93</v>
      </c>
      <c r="B58" s="7">
        <v>1001346</v>
      </c>
      <c r="C58" s="7" t="str">
        <f>"118722000"</f>
        <v>118722000</v>
      </c>
      <c r="D58" s="7" t="s">
        <v>94</v>
      </c>
      <c r="E58" s="7">
        <v>1001427</v>
      </c>
      <c r="F58" s="7" t="str">
        <f>"118722201"</f>
        <v>118722201</v>
      </c>
      <c r="H58" s="7">
        <v>254</v>
      </c>
      <c r="I58" s="11">
        <v>0.44</v>
      </c>
    </row>
    <row r="59" spans="1:9" ht="28.5">
      <c r="A59" s="7" t="s">
        <v>95</v>
      </c>
      <c r="B59" s="7">
        <v>4348</v>
      </c>
      <c r="C59" s="7" t="str">
        <f>"078725000"</f>
        <v>078725000</v>
      </c>
      <c r="D59" s="7" t="s">
        <v>96</v>
      </c>
      <c r="E59" s="7">
        <v>242454</v>
      </c>
      <c r="F59" s="7" t="str">
        <f>"078725010"</f>
        <v>078725010</v>
      </c>
      <c r="H59" s="7">
        <v>467</v>
      </c>
      <c r="I59" s="11">
        <v>0.37</v>
      </c>
    </row>
    <row r="60" spans="1:9" ht="28.5">
      <c r="A60" s="7" t="s">
        <v>95</v>
      </c>
      <c r="B60" s="7">
        <v>4348</v>
      </c>
      <c r="C60" s="7" t="str">
        <f>"078725000"</f>
        <v>078725000</v>
      </c>
      <c r="D60" s="7" t="s">
        <v>97</v>
      </c>
      <c r="E60" s="7">
        <v>92348</v>
      </c>
      <c r="F60" s="7" t="str">
        <f>"078725006"</f>
        <v>078725006</v>
      </c>
      <c r="H60" s="7">
        <v>1114</v>
      </c>
      <c r="I60" s="11">
        <v>0.5</v>
      </c>
    </row>
    <row r="61" spans="1:9" ht="28.5">
      <c r="A61" s="7" t="s">
        <v>95</v>
      </c>
      <c r="B61" s="7">
        <v>4348</v>
      </c>
      <c r="C61" s="7" t="str">
        <f>"078725000"</f>
        <v>078725000</v>
      </c>
      <c r="D61" s="7" t="s">
        <v>98</v>
      </c>
      <c r="E61" s="7">
        <v>92885</v>
      </c>
      <c r="F61" s="7" t="str">
        <f>"078725007"</f>
        <v>078725007</v>
      </c>
      <c r="H61" s="7">
        <v>815</v>
      </c>
      <c r="I61" s="11">
        <v>0.41</v>
      </c>
    </row>
    <row r="62" spans="1:9" ht="28.5">
      <c r="A62" s="7" t="s">
        <v>95</v>
      </c>
      <c r="B62" s="7">
        <v>4348</v>
      </c>
      <c r="C62" s="7" t="str">
        <f>"078725000"</f>
        <v>078725000</v>
      </c>
      <c r="D62" s="7" t="s">
        <v>99</v>
      </c>
      <c r="E62" s="7">
        <v>91173</v>
      </c>
      <c r="F62" s="7" t="str">
        <f>"078725003"</f>
        <v>078725003</v>
      </c>
      <c r="H62" s="7">
        <v>721</v>
      </c>
      <c r="I62" s="11">
        <v>0.51</v>
      </c>
    </row>
    <row r="63" spans="1:9" ht="28.5">
      <c r="A63" s="7" t="s">
        <v>100</v>
      </c>
      <c r="B63" s="7">
        <v>4406</v>
      </c>
      <c r="C63" s="7" t="str">
        <f t="shared" ref="C63:C83" si="2">"100210000"</f>
        <v>100210000</v>
      </c>
      <c r="D63" s="7" t="s">
        <v>101</v>
      </c>
      <c r="E63" s="7">
        <v>6055</v>
      </c>
      <c r="F63" s="7" t="str">
        <f>"100210281"</f>
        <v>100210281</v>
      </c>
      <c r="G63" s="7" t="s">
        <v>16</v>
      </c>
      <c r="H63" s="7">
        <v>1134</v>
      </c>
      <c r="I63" s="12">
        <v>0.75</v>
      </c>
    </row>
    <row r="64" spans="1:9" ht="28.5">
      <c r="A64" s="7" t="s">
        <v>100</v>
      </c>
      <c r="B64" s="7">
        <v>4406</v>
      </c>
      <c r="C64" s="7" t="str">
        <f t="shared" si="2"/>
        <v>100210000</v>
      </c>
      <c r="D64" s="7" t="s">
        <v>102</v>
      </c>
      <c r="E64" s="7">
        <v>5805</v>
      </c>
      <c r="F64" s="7" t="str">
        <f>"100210166"</f>
        <v>100210166</v>
      </c>
      <c r="G64" s="7" t="s">
        <v>16</v>
      </c>
      <c r="H64" s="7">
        <v>538</v>
      </c>
      <c r="I64" s="12">
        <v>0.96</v>
      </c>
    </row>
    <row r="65" spans="1:9">
      <c r="A65" s="7" t="s">
        <v>100</v>
      </c>
      <c r="B65" s="7">
        <v>4406</v>
      </c>
      <c r="C65" s="7" t="str">
        <f t="shared" si="2"/>
        <v>100210000</v>
      </c>
      <c r="D65" s="7" t="s">
        <v>103</v>
      </c>
      <c r="E65" s="7">
        <v>5808</v>
      </c>
      <c r="F65" s="7" t="str">
        <f>"100210282"</f>
        <v>100210282</v>
      </c>
      <c r="H65" s="7">
        <v>1747</v>
      </c>
      <c r="I65" s="11">
        <v>0.26</v>
      </c>
    </row>
    <row r="66" spans="1:9">
      <c r="A66" s="7" t="s">
        <v>100</v>
      </c>
      <c r="B66" s="7">
        <v>4406</v>
      </c>
      <c r="C66" s="7" t="str">
        <f t="shared" si="2"/>
        <v>100210000</v>
      </c>
      <c r="D66" s="7" t="s">
        <v>104</v>
      </c>
      <c r="E66" s="7">
        <v>5802</v>
      </c>
      <c r="F66" s="7" t="str">
        <f>"100210118"</f>
        <v>100210118</v>
      </c>
      <c r="H66" s="7">
        <v>282</v>
      </c>
      <c r="I66" s="11">
        <v>0.35</v>
      </c>
    </row>
    <row r="67" spans="1:9">
      <c r="A67" s="7" t="s">
        <v>100</v>
      </c>
      <c r="B67" s="7">
        <v>4406</v>
      </c>
      <c r="C67" s="7" t="str">
        <f t="shared" si="2"/>
        <v>100210000</v>
      </c>
      <c r="D67" s="7" t="s">
        <v>105</v>
      </c>
      <c r="E67" s="7">
        <v>5799</v>
      </c>
      <c r="F67" s="7" t="str">
        <f>"100210115"</f>
        <v>100210115</v>
      </c>
      <c r="H67" s="7">
        <v>655</v>
      </c>
      <c r="I67" s="11">
        <v>0.54</v>
      </c>
    </row>
    <row r="68" spans="1:9" ht="28.5">
      <c r="A68" s="7" t="s">
        <v>100</v>
      </c>
      <c r="B68" s="7">
        <v>4406</v>
      </c>
      <c r="C68" s="7" t="str">
        <f t="shared" si="2"/>
        <v>100210000</v>
      </c>
      <c r="D68" s="7" t="s">
        <v>106</v>
      </c>
      <c r="E68" s="7">
        <v>5796</v>
      </c>
      <c r="F68" s="7" t="str">
        <f>"100210110"</f>
        <v>100210110</v>
      </c>
      <c r="G68" s="7" t="s">
        <v>16</v>
      </c>
      <c r="H68" s="7">
        <v>313</v>
      </c>
      <c r="I68" s="11" t="s">
        <v>17</v>
      </c>
    </row>
    <row r="69" spans="1:9" ht="28.5">
      <c r="A69" s="7" t="s">
        <v>100</v>
      </c>
      <c r="B69" s="7">
        <v>4406</v>
      </c>
      <c r="C69" s="7" t="str">
        <f t="shared" si="2"/>
        <v>100210000</v>
      </c>
      <c r="D69" s="7" t="s">
        <v>107</v>
      </c>
      <c r="E69" s="7">
        <v>5794</v>
      </c>
      <c r="F69" s="7" t="str">
        <f>"100210108"</f>
        <v>100210108</v>
      </c>
      <c r="G69" s="7" t="s">
        <v>16</v>
      </c>
      <c r="H69" s="7">
        <v>281</v>
      </c>
      <c r="I69" s="12">
        <v>0.8</v>
      </c>
    </row>
    <row r="70" spans="1:9" ht="28.5">
      <c r="A70" s="7" t="s">
        <v>100</v>
      </c>
      <c r="B70" s="7">
        <v>4406</v>
      </c>
      <c r="C70" s="7" t="str">
        <f t="shared" si="2"/>
        <v>100210000</v>
      </c>
      <c r="D70" s="7" t="s">
        <v>108</v>
      </c>
      <c r="E70" s="7">
        <v>5795</v>
      </c>
      <c r="F70" s="7" t="str">
        <f>"100210109"</f>
        <v>100210109</v>
      </c>
      <c r="G70" s="7" t="s">
        <v>16</v>
      </c>
      <c r="H70" s="7">
        <v>251</v>
      </c>
      <c r="I70" s="11" t="s">
        <v>17</v>
      </c>
    </row>
    <row r="71" spans="1:9">
      <c r="A71" s="7" t="s">
        <v>100</v>
      </c>
      <c r="B71" s="7">
        <v>4406</v>
      </c>
      <c r="C71" s="7" t="str">
        <f t="shared" si="2"/>
        <v>100210000</v>
      </c>
      <c r="D71" s="7" t="s">
        <v>109</v>
      </c>
      <c r="E71" s="7">
        <v>79378</v>
      </c>
      <c r="F71" s="7" t="str">
        <f>"100210280"</f>
        <v>100210280</v>
      </c>
      <c r="H71" s="7">
        <v>1567</v>
      </c>
      <c r="I71" s="11">
        <v>0.23</v>
      </c>
    </row>
    <row r="72" spans="1:9" ht="28.5">
      <c r="A72" s="7" t="s">
        <v>100</v>
      </c>
      <c r="B72" s="7">
        <v>4406</v>
      </c>
      <c r="C72" s="7" t="str">
        <f t="shared" si="2"/>
        <v>100210000</v>
      </c>
      <c r="D72" s="7" t="s">
        <v>110</v>
      </c>
      <c r="E72" s="7">
        <v>5797</v>
      </c>
      <c r="F72" s="7" t="str">
        <f>"100210111"</f>
        <v>100210111</v>
      </c>
      <c r="G72" s="7" t="s">
        <v>16</v>
      </c>
      <c r="H72" s="7">
        <v>440</v>
      </c>
      <c r="I72" s="11" t="s">
        <v>17</v>
      </c>
    </row>
    <row r="73" spans="1:9" ht="28.5">
      <c r="A73" s="7" t="s">
        <v>100</v>
      </c>
      <c r="B73" s="7">
        <v>4406</v>
      </c>
      <c r="C73" s="7" t="str">
        <f t="shared" si="2"/>
        <v>100210000</v>
      </c>
      <c r="D73" s="7" t="s">
        <v>111</v>
      </c>
      <c r="E73" s="7">
        <v>5804</v>
      </c>
      <c r="F73" s="7" t="str">
        <f>"100210165"</f>
        <v>100210165</v>
      </c>
      <c r="G73" s="7" t="s">
        <v>16</v>
      </c>
      <c r="H73" s="7">
        <v>363</v>
      </c>
      <c r="I73" s="12">
        <v>0.76</v>
      </c>
    </row>
    <row r="74" spans="1:9">
      <c r="A74" s="7" t="s">
        <v>100</v>
      </c>
      <c r="B74" s="7">
        <v>4406</v>
      </c>
      <c r="C74" s="7" t="str">
        <f t="shared" si="2"/>
        <v>100210000</v>
      </c>
      <c r="D74" s="7" t="s">
        <v>112</v>
      </c>
      <c r="E74" s="7">
        <v>5806</v>
      </c>
      <c r="F74" s="7" t="str">
        <f>"100210167"</f>
        <v>100210167</v>
      </c>
      <c r="H74" s="7">
        <v>776</v>
      </c>
      <c r="I74" s="11">
        <v>0.3</v>
      </c>
    </row>
    <row r="75" spans="1:9" ht="28.5">
      <c r="A75" s="7" t="s">
        <v>100</v>
      </c>
      <c r="B75" s="7">
        <v>4406</v>
      </c>
      <c r="C75" s="7" t="str">
        <f t="shared" si="2"/>
        <v>100210000</v>
      </c>
      <c r="D75" s="7" t="s">
        <v>113</v>
      </c>
      <c r="E75" s="7">
        <v>5798</v>
      </c>
      <c r="F75" s="7" t="str">
        <f>"100210112"</f>
        <v>100210112</v>
      </c>
      <c r="G75" s="7" t="s">
        <v>16</v>
      </c>
      <c r="H75" s="7">
        <v>386</v>
      </c>
      <c r="I75" s="12">
        <v>0.54</v>
      </c>
    </row>
    <row r="76" spans="1:9" ht="28.5">
      <c r="A76" s="7" t="s">
        <v>100</v>
      </c>
      <c r="B76" s="7">
        <v>4406</v>
      </c>
      <c r="C76" s="7" t="str">
        <f t="shared" si="2"/>
        <v>100210000</v>
      </c>
      <c r="D76" s="7" t="s">
        <v>114</v>
      </c>
      <c r="E76" s="7">
        <v>5792</v>
      </c>
      <c r="F76" s="7" t="str">
        <f>"100210106"</f>
        <v>100210106</v>
      </c>
      <c r="G76" s="7" t="s">
        <v>16</v>
      </c>
      <c r="H76" s="7">
        <v>222</v>
      </c>
      <c r="I76" s="12">
        <v>0.63</v>
      </c>
    </row>
    <row r="77" spans="1:9">
      <c r="A77" s="7" t="s">
        <v>100</v>
      </c>
      <c r="B77" s="7">
        <v>4406</v>
      </c>
      <c r="C77" s="7" t="str">
        <f t="shared" si="2"/>
        <v>100210000</v>
      </c>
      <c r="D77" s="7" t="s">
        <v>115</v>
      </c>
      <c r="E77" s="7">
        <v>5800</v>
      </c>
      <c r="F77" s="7" t="str">
        <f>"100210116"</f>
        <v>100210116</v>
      </c>
      <c r="H77" s="7">
        <v>281</v>
      </c>
      <c r="I77" s="11">
        <v>0.38</v>
      </c>
    </row>
    <row r="78" spans="1:9">
      <c r="A78" s="7" t="s">
        <v>100</v>
      </c>
      <c r="B78" s="7">
        <v>4406</v>
      </c>
      <c r="C78" s="7" t="str">
        <f t="shared" si="2"/>
        <v>100210000</v>
      </c>
      <c r="D78" s="7" t="s">
        <v>116</v>
      </c>
      <c r="E78" s="7">
        <v>79282</v>
      </c>
      <c r="F78" s="7" t="str">
        <f>"100210114"</f>
        <v>100210114</v>
      </c>
      <c r="H78" s="7">
        <v>423</v>
      </c>
      <c r="I78" s="11">
        <v>0.18</v>
      </c>
    </row>
    <row r="79" spans="1:9">
      <c r="A79" s="7" t="s">
        <v>100</v>
      </c>
      <c r="B79" s="7">
        <v>4406</v>
      </c>
      <c r="C79" s="7" t="str">
        <f t="shared" si="2"/>
        <v>100210000</v>
      </c>
      <c r="D79" s="7" t="s">
        <v>117</v>
      </c>
      <c r="E79" s="7">
        <v>5807</v>
      </c>
      <c r="F79" s="7" t="str">
        <f>"100210168"</f>
        <v>100210168</v>
      </c>
      <c r="H79" s="7">
        <v>795</v>
      </c>
      <c r="I79" s="11">
        <v>0.21</v>
      </c>
    </row>
    <row r="80" spans="1:9" ht="28.5">
      <c r="A80" s="7" t="s">
        <v>100</v>
      </c>
      <c r="B80" s="7">
        <v>4406</v>
      </c>
      <c r="C80" s="7" t="str">
        <f t="shared" si="2"/>
        <v>100210000</v>
      </c>
      <c r="D80" s="7" t="s">
        <v>118</v>
      </c>
      <c r="E80" s="7">
        <v>5803</v>
      </c>
      <c r="F80" s="7" t="str">
        <f>"100210125"</f>
        <v>100210125</v>
      </c>
      <c r="G80" s="7" t="s">
        <v>16</v>
      </c>
      <c r="H80" s="7">
        <v>69</v>
      </c>
      <c r="I80" s="12">
        <v>0.74</v>
      </c>
    </row>
    <row r="81" spans="1:9" ht="28.5">
      <c r="A81" s="7" t="s">
        <v>100</v>
      </c>
      <c r="B81" s="7">
        <v>4406</v>
      </c>
      <c r="C81" s="7" t="str">
        <f t="shared" si="2"/>
        <v>100210000</v>
      </c>
      <c r="D81" s="7" t="s">
        <v>119</v>
      </c>
      <c r="E81" s="7">
        <v>5801</v>
      </c>
      <c r="F81" s="7" t="str">
        <f>"100210117"</f>
        <v>100210117</v>
      </c>
      <c r="G81" s="7" t="s">
        <v>16</v>
      </c>
      <c r="H81" s="7">
        <v>386</v>
      </c>
      <c r="I81" s="12">
        <v>0.9</v>
      </c>
    </row>
    <row r="82" spans="1:9">
      <c r="A82" s="7" t="s">
        <v>100</v>
      </c>
      <c r="B82" s="7">
        <v>4406</v>
      </c>
      <c r="C82" s="7" t="str">
        <f t="shared" si="2"/>
        <v>100210000</v>
      </c>
      <c r="D82" s="7" t="s">
        <v>120</v>
      </c>
      <c r="E82" s="7">
        <v>12976</v>
      </c>
      <c r="F82" s="7" t="str">
        <f>"100210119"</f>
        <v>100210119</v>
      </c>
      <c r="H82" s="7">
        <v>428</v>
      </c>
      <c r="I82" s="11">
        <v>0.13</v>
      </c>
    </row>
    <row r="83" spans="1:9" ht="28.5">
      <c r="A83" s="7" t="s">
        <v>100</v>
      </c>
      <c r="B83" s="7">
        <v>4406</v>
      </c>
      <c r="C83" s="7" t="str">
        <f t="shared" si="2"/>
        <v>100210000</v>
      </c>
      <c r="D83" s="7" t="s">
        <v>121</v>
      </c>
      <c r="E83" s="7">
        <v>5793</v>
      </c>
      <c r="F83" s="7" t="str">
        <f>"100210107"</f>
        <v>100210107</v>
      </c>
      <c r="H83" s="7">
        <v>431</v>
      </c>
      <c r="I83" s="11">
        <v>0.28000000000000003</v>
      </c>
    </row>
    <row r="84" spans="1:9">
      <c r="A84" s="7" t="s">
        <v>122</v>
      </c>
      <c r="B84" s="7">
        <v>4506</v>
      </c>
      <c r="C84" s="7" t="str">
        <f>"140550000"</f>
        <v>140550000</v>
      </c>
      <c r="D84" s="7" t="s">
        <v>123</v>
      </c>
      <c r="E84" s="7">
        <v>6188</v>
      </c>
      <c r="F84" s="7" t="str">
        <f>"140550201"</f>
        <v>140550201</v>
      </c>
      <c r="G84" s="7" t="s">
        <v>26</v>
      </c>
      <c r="H84" s="7">
        <v>189</v>
      </c>
      <c r="I84" s="11">
        <v>0.61</v>
      </c>
    </row>
    <row r="85" spans="1:9">
      <c r="A85" s="7" t="s">
        <v>124</v>
      </c>
      <c r="B85" s="7">
        <v>4443</v>
      </c>
      <c r="C85" s="7" t="str">
        <f>"110243000"</f>
        <v>110243000</v>
      </c>
      <c r="D85" s="7" t="s">
        <v>125</v>
      </c>
      <c r="E85" s="7">
        <v>5925</v>
      </c>
      <c r="F85" s="7" t="str">
        <f>"110243201"</f>
        <v>110243201</v>
      </c>
      <c r="H85" s="7">
        <v>909</v>
      </c>
      <c r="I85" s="11">
        <v>0.5</v>
      </c>
    </row>
    <row r="86" spans="1:9">
      <c r="A86" s="7" t="s">
        <v>124</v>
      </c>
      <c r="B86" s="7">
        <v>4443</v>
      </c>
      <c r="C86" s="7" t="str">
        <f>"110243000"</f>
        <v>110243000</v>
      </c>
      <c r="D86" s="7" t="s">
        <v>126</v>
      </c>
      <c r="E86" s="7">
        <v>5923</v>
      </c>
      <c r="F86" s="7" t="str">
        <f>"110243151"</f>
        <v>110243151</v>
      </c>
      <c r="H86" s="7">
        <v>663</v>
      </c>
      <c r="I86" s="11">
        <v>0.63</v>
      </c>
    </row>
    <row r="87" spans="1:9">
      <c r="A87" s="7" t="s">
        <v>124</v>
      </c>
      <c r="B87" s="7">
        <v>4443</v>
      </c>
      <c r="C87" s="7" t="str">
        <f>"110243000"</f>
        <v>110243000</v>
      </c>
      <c r="D87" s="7" t="s">
        <v>127</v>
      </c>
      <c r="E87" s="7">
        <v>5922</v>
      </c>
      <c r="F87" s="7" t="str">
        <f>"110243104"</f>
        <v>110243104</v>
      </c>
      <c r="H87" s="7">
        <v>536</v>
      </c>
      <c r="I87" s="11">
        <v>0.59</v>
      </c>
    </row>
    <row r="88" spans="1:9">
      <c r="A88" s="7" t="s">
        <v>124</v>
      </c>
      <c r="B88" s="7">
        <v>4443</v>
      </c>
      <c r="C88" s="7" t="str">
        <f>"110243000"</f>
        <v>110243000</v>
      </c>
      <c r="D88" s="7" t="s">
        <v>128</v>
      </c>
      <c r="E88" s="7">
        <v>5920</v>
      </c>
      <c r="F88" s="7" t="str">
        <f>"110243102"</f>
        <v>110243102</v>
      </c>
      <c r="G88" s="7" t="s">
        <v>26</v>
      </c>
      <c r="H88" s="7">
        <v>459</v>
      </c>
      <c r="I88" s="11">
        <v>0.72</v>
      </c>
    </row>
    <row r="89" spans="1:9">
      <c r="A89" s="7" t="s">
        <v>124</v>
      </c>
      <c r="B89" s="7">
        <v>4443</v>
      </c>
      <c r="C89" s="7" t="str">
        <f>"110243000"</f>
        <v>110243000</v>
      </c>
      <c r="D89" s="7" t="s">
        <v>129</v>
      </c>
      <c r="E89" s="7">
        <v>79631</v>
      </c>
      <c r="F89" s="7" t="str">
        <f>"110243105"</f>
        <v>110243105</v>
      </c>
      <c r="H89" s="7">
        <v>302</v>
      </c>
      <c r="I89" s="11">
        <v>0.61</v>
      </c>
    </row>
    <row r="90" spans="1:9" ht="28.5">
      <c r="A90" s="7" t="s">
        <v>130</v>
      </c>
      <c r="B90" s="7">
        <v>79426</v>
      </c>
      <c r="C90" s="7" t="str">
        <f>"108785000"</f>
        <v>108785000</v>
      </c>
      <c r="D90" s="7" t="s">
        <v>131</v>
      </c>
      <c r="E90" s="7">
        <v>79432</v>
      </c>
      <c r="F90" s="7" t="str">
        <f>"108785001"</f>
        <v>108785001</v>
      </c>
      <c r="G90" s="7" t="s">
        <v>16</v>
      </c>
      <c r="H90" s="7">
        <v>250</v>
      </c>
      <c r="I90" s="11">
        <v>0.93</v>
      </c>
    </row>
    <row r="91" spans="1:9">
      <c r="A91" s="7" t="s">
        <v>132</v>
      </c>
      <c r="B91" s="7">
        <v>92980</v>
      </c>
      <c r="C91" s="7" t="str">
        <f>"118721000"</f>
        <v>118721000</v>
      </c>
      <c r="D91" s="7" t="s">
        <v>132</v>
      </c>
      <c r="E91" s="7">
        <v>1000276</v>
      </c>
      <c r="F91" s="7" t="str">
        <f>"118721001"</f>
        <v>118721001</v>
      </c>
      <c r="H91" s="7">
        <v>58</v>
      </c>
      <c r="I91" s="11">
        <v>0.78</v>
      </c>
    </row>
    <row r="92" spans="1:9">
      <c r="A92" s="7" t="s">
        <v>133</v>
      </c>
      <c r="B92" s="7">
        <v>91958</v>
      </c>
      <c r="C92" s="7" t="str">
        <f>"078226000"</f>
        <v>078226000</v>
      </c>
      <c r="D92" s="7" t="s">
        <v>134</v>
      </c>
      <c r="E92" s="7">
        <v>92598</v>
      </c>
      <c r="F92" s="7" t="str">
        <f>"078226001"</f>
        <v>078226001</v>
      </c>
      <c r="H92" s="7">
        <v>116</v>
      </c>
      <c r="I92" s="11">
        <v>0.52</v>
      </c>
    </row>
    <row r="93" spans="1:9" ht="28.5">
      <c r="A93" s="7" t="s">
        <v>133</v>
      </c>
      <c r="B93" s="7">
        <v>91958</v>
      </c>
      <c r="C93" s="7" t="str">
        <f>"078226000"</f>
        <v>078226000</v>
      </c>
      <c r="D93" s="7" t="s">
        <v>135</v>
      </c>
      <c r="E93" s="7">
        <v>92984</v>
      </c>
      <c r="F93" s="7" t="str">
        <f>"078226002"</f>
        <v>078226002</v>
      </c>
      <c r="H93" s="7">
        <v>335</v>
      </c>
      <c r="I93" s="11">
        <v>0.51</v>
      </c>
    </row>
    <row r="94" spans="1:9" ht="28.5">
      <c r="A94" s="7" t="s">
        <v>133</v>
      </c>
      <c r="B94" s="7">
        <v>91958</v>
      </c>
      <c r="C94" s="7" t="str">
        <f>"078226000"</f>
        <v>078226000</v>
      </c>
      <c r="D94" s="7" t="s">
        <v>136</v>
      </c>
      <c r="E94" s="7">
        <v>1001850</v>
      </c>
      <c r="F94" s="7" t="str">
        <f>"078226005"</f>
        <v>078226005</v>
      </c>
      <c r="H94" s="7">
        <v>182</v>
      </c>
      <c r="I94" s="11">
        <v>0.55000000000000004</v>
      </c>
    </row>
    <row r="95" spans="1:9">
      <c r="A95" s="7" t="s">
        <v>137</v>
      </c>
      <c r="B95" s="7">
        <v>79947</v>
      </c>
      <c r="C95" s="7" t="str">
        <f>"108709000"</f>
        <v>108709000</v>
      </c>
      <c r="D95" s="7" t="s">
        <v>138</v>
      </c>
      <c r="E95" s="7">
        <v>79950</v>
      </c>
      <c r="F95" s="7" t="str">
        <f>"108709101"</f>
        <v>108709101</v>
      </c>
      <c r="H95" s="7">
        <v>664</v>
      </c>
      <c r="I95" s="11">
        <v>0.7</v>
      </c>
    </row>
    <row r="96" spans="1:9">
      <c r="A96" s="7" t="s">
        <v>137</v>
      </c>
      <c r="B96" s="7">
        <v>79947</v>
      </c>
      <c r="C96" s="7" t="str">
        <f>"108709000"</f>
        <v>108709000</v>
      </c>
      <c r="D96" s="7" t="s">
        <v>139</v>
      </c>
      <c r="E96" s="7">
        <v>81187</v>
      </c>
      <c r="F96" s="7" t="str">
        <f>"108709103"</f>
        <v>108709103</v>
      </c>
      <c r="H96" s="7">
        <v>870</v>
      </c>
      <c r="I96" s="11">
        <v>0.73</v>
      </c>
    </row>
    <row r="97" spans="1:9">
      <c r="A97" s="7" t="s">
        <v>137</v>
      </c>
      <c r="B97" s="7">
        <v>79947</v>
      </c>
      <c r="C97" s="7" t="str">
        <f>"108709000"</f>
        <v>108709000</v>
      </c>
      <c r="D97" s="7" t="s">
        <v>140</v>
      </c>
      <c r="E97" s="7">
        <v>91805</v>
      </c>
      <c r="F97" s="7" t="str">
        <f>"108709104"</f>
        <v>108709104</v>
      </c>
      <c r="H97" s="7">
        <v>508</v>
      </c>
      <c r="I97" s="11">
        <v>0.8</v>
      </c>
    </row>
    <row r="98" spans="1:9">
      <c r="A98" s="7" t="s">
        <v>141</v>
      </c>
      <c r="B98" s="7">
        <v>79812</v>
      </c>
      <c r="C98" s="7" t="str">
        <f>"072006000"</f>
        <v>072006000</v>
      </c>
      <c r="D98" s="7" t="s">
        <v>141</v>
      </c>
      <c r="E98" s="7">
        <v>79813</v>
      </c>
      <c r="F98" s="7" t="str">
        <f>"072006001"</f>
        <v>072006001</v>
      </c>
      <c r="H98" s="7">
        <v>430</v>
      </c>
      <c r="I98" s="11">
        <v>0.39</v>
      </c>
    </row>
    <row r="99" spans="1:9">
      <c r="A99" s="7" t="s">
        <v>142</v>
      </c>
      <c r="B99" s="7">
        <v>8336</v>
      </c>
      <c r="C99" s="7" t="str">
        <f>"211002000"</f>
        <v>211002000</v>
      </c>
      <c r="D99" s="7" t="s">
        <v>143</v>
      </c>
      <c r="E99" s="7">
        <v>10229</v>
      </c>
      <c r="F99" s="7" t="str">
        <f>"211002120"</f>
        <v>211002120</v>
      </c>
      <c r="H99" s="7">
        <v>33</v>
      </c>
      <c r="I99" s="11" t="s">
        <v>17</v>
      </c>
    </row>
    <row r="100" spans="1:9" ht="28.5">
      <c r="A100" s="7" t="s">
        <v>144</v>
      </c>
      <c r="B100" s="7">
        <v>6393</v>
      </c>
      <c r="C100" s="7" t="str">
        <f>"001202000"</f>
        <v>001202000</v>
      </c>
      <c r="D100" s="7" t="s">
        <v>145</v>
      </c>
      <c r="E100" s="7">
        <v>6395</v>
      </c>
      <c r="F100" s="7" t="str">
        <f>"001202040"</f>
        <v>001202040</v>
      </c>
      <c r="G100" s="7" t="s">
        <v>26</v>
      </c>
      <c r="H100" s="7">
        <v>242</v>
      </c>
      <c r="I100" s="11">
        <v>0.8</v>
      </c>
    </row>
    <row r="101" spans="1:9">
      <c r="A101" s="7" t="s">
        <v>144</v>
      </c>
      <c r="B101" s="7">
        <v>6393</v>
      </c>
      <c r="C101" s="7" t="str">
        <f>"001202000"</f>
        <v>001202000</v>
      </c>
      <c r="D101" s="7" t="s">
        <v>146</v>
      </c>
      <c r="E101" s="7">
        <v>80462</v>
      </c>
      <c r="F101" s="7" t="str">
        <f>"001202058"</f>
        <v>001202058</v>
      </c>
      <c r="G101" s="7" t="s">
        <v>26</v>
      </c>
      <c r="H101" s="7">
        <v>148</v>
      </c>
      <c r="I101" s="11">
        <v>0.7</v>
      </c>
    </row>
    <row r="102" spans="1:9">
      <c r="A102" s="7" t="s">
        <v>147</v>
      </c>
      <c r="B102" s="7">
        <v>4274</v>
      </c>
      <c r="C102" s="7" t="str">
        <f>"070447000"</f>
        <v>070447000</v>
      </c>
      <c r="D102" s="7" t="s">
        <v>148</v>
      </c>
      <c r="E102" s="7">
        <v>5354</v>
      </c>
      <c r="F102" s="7" t="str">
        <f>"070447101"</f>
        <v>070447101</v>
      </c>
      <c r="G102" s="7" t="s">
        <v>26</v>
      </c>
      <c r="H102" s="7">
        <v>308</v>
      </c>
      <c r="I102" s="11">
        <v>0.63</v>
      </c>
    </row>
    <row r="103" spans="1:9" ht="28.5">
      <c r="A103" s="7" t="s">
        <v>149</v>
      </c>
      <c r="B103" s="7">
        <v>4187</v>
      </c>
      <c r="C103" s="7" t="str">
        <f>"020453000"</f>
        <v>020453000</v>
      </c>
      <c r="D103" s="7" t="s">
        <v>150</v>
      </c>
      <c r="E103" s="7">
        <v>4797</v>
      </c>
      <c r="F103" s="7" t="str">
        <f>"020453101"</f>
        <v>020453101</v>
      </c>
      <c r="G103" s="7" t="s">
        <v>16</v>
      </c>
      <c r="H103" s="7">
        <v>32</v>
      </c>
      <c r="I103" s="11">
        <v>0.8</v>
      </c>
    </row>
    <row r="104" spans="1:9">
      <c r="A104" s="7" t="s">
        <v>151</v>
      </c>
      <c r="B104" s="7">
        <v>4471</v>
      </c>
      <c r="C104" s="7" t="str">
        <f>"130231000"</f>
        <v>130231000</v>
      </c>
      <c r="D104" s="7" t="s">
        <v>152</v>
      </c>
      <c r="E104" s="7">
        <v>6101</v>
      </c>
      <c r="F104" s="7" t="str">
        <f>"130231101"</f>
        <v>130231101</v>
      </c>
      <c r="G104" s="7" t="s">
        <v>26</v>
      </c>
      <c r="H104" s="7">
        <v>118</v>
      </c>
      <c r="I104" s="11">
        <v>0.8</v>
      </c>
    </row>
    <row r="105" spans="1:9">
      <c r="A105" s="7" t="s">
        <v>151</v>
      </c>
      <c r="B105" s="7">
        <v>4471</v>
      </c>
      <c r="C105" s="7" t="str">
        <f>"130231000"</f>
        <v>130231000</v>
      </c>
      <c r="D105" s="7" t="s">
        <v>153</v>
      </c>
      <c r="E105" s="7">
        <v>6103</v>
      </c>
      <c r="F105" s="7" t="str">
        <f>"130231202"</f>
        <v>130231202</v>
      </c>
      <c r="G105" s="7" t="s">
        <v>26</v>
      </c>
      <c r="H105" s="7">
        <v>96</v>
      </c>
      <c r="I105" s="11">
        <v>0.75</v>
      </c>
    </row>
    <row r="106" spans="1:9">
      <c r="A106" s="7" t="s">
        <v>151</v>
      </c>
      <c r="B106" s="7">
        <v>4471</v>
      </c>
      <c r="C106" s="7" t="str">
        <f>"130231000"</f>
        <v>130231000</v>
      </c>
      <c r="D106" s="7" t="s">
        <v>154</v>
      </c>
      <c r="E106" s="7">
        <v>6102</v>
      </c>
      <c r="F106" s="7" t="str">
        <f>"130231102"</f>
        <v>130231102</v>
      </c>
      <c r="G106" s="7" t="s">
        <v>26</v>
      </c>
      <c r="H106" s="7">
        <v>67</v>
      </c>
      <c r="I106" s="11">
        <v>0.77</v>
      </c>
    </row>
    <row r="107" spans="1:9" ht="28.5">
      <c r="A107" s="7" t="s">
        <v>155</v>
      </c>
      <c r="B107" s="7">
        <v>89949</v>
      </c>
      <c r="C107" s="7" t="str">
        <f t="shared" ref="C107:C113" si="3">"078546000"</f>
        <v>078546000</v>
      </c>
      <c r="D107" s="7" t="s">
        <v>156</v>
      </c>
      <c r="E107" s="7">
        <v>92326</v>
      </c>
      <c r="F107" s="7" t="str">
        <f>"078250001"</f>
        <v>078250001</v>
      </c>
      <c r="H107" s="7">
        <v>433</v>
      </c>
      <c r="I107" s="11">
        <v>0.74</v>
      </c>
    </row>
    <row r="108" spans="1:9" ht="28.5">
      <c r="A108" s="7" t="s">
        <v>155</v>
      </c>
      <c r="B108" s="7">
        <v>89949</v>
      </c>
      <c r="C108" s="7" t="str">
        <f t="shared" si="3"/>
        <v>078546000</v>
      </c>
      <c r="D108" s="7" t="s">
        <v>157</v>
      </c>
      <c r="E108" s="7">
        <v>92248</v>
      </c>
      <c r="F108" s="7" t="str">
        <f>"078277001"</f>
        <v>078277001</v>
      </c>
      <c r="H108" s="7">
        <v>233</v>
      </c>
      <c r="I108" s="11">
        <v>0.88</v>
      </c>
    </row>
    <row r="109" spans="1:9" ht="28.5">
      <c r="A109" s="7" t="s">
        <v>155</v>
      </c>
      <c r="B109" s="7">
        <v>89949</v>
      </c>
      <c r="C109" s="7" t="str">
        <f t="shared" si="3"/>
        <v>078546000</v>
      </c>
      <c r="D109" s="7" t="s">
        <v>158</v>
      </c>
      <c r="E109" s="7">
        <v>90274</v>
      </c>
      <c r="F109" s="7" t="str">
        <f>"078559001"</f>
        <v>078559001</v>
      </c>
      <c r="H109" s="7">
        <v>98</v>
      </c>
      <c r="I109" s="11">
        <v>0.93</v>
      </c>
    </row>
    <row r="110" spans="1:9" ht="28.5">
      <c r="A110" s="7" t="s">
        <v>155</v>
      </c>
      <c r="B110" s="7">
        <v>89949</v>
      </c>
      <c r="C110" s="7" t="str">
        <f t="shared" si="3"/>
        <v>078546000</v>
      </c>
      <c r="D110" s="7" t="s">
        <v>159</v>
      </c>
      <c r="E110" s="7">
        <v>70692</v>
      </c>
      <c r="F110" s="7" t="str">
        <f>"078267001"</f>
        <v>078267001</v>
      </c>
      <c r="H110" s="7">
        <v>85</v>
      </c>
      <c r="I110" s="11">
        <v>0.95</v>
      </c>
    </row>
    <row r="111" spans="1:9" ht="28.5">
      <c r="A111" s="7" t="s">
        <v>155</v>
      </c>
      <c r="B111" s="7">
        <v>89949</v>
      </c>
      <c r="C111" s="7" t="str">
        <f t="shared" si="3"/>
        <v>078546000</v>
      </c>
      <c r="D111" s="7" t="s">
        <v>160</v>
      </c>
      <c r="E111" s="7">
        <v>90271</v>
      </c>
      <c r="F111" s="7" t="str">
        <f>"078546102"</f>
        <v>078546102</v>
      </c>
      <c r="H111" s="7">
        <v>451</v>
      </c>
      <c r="I111" s="11">
        <v>0.74</v>
      </c>
    </row>
    <row r="112" spans="1:9" ht="28.5">
      <c r="A112" s="7" t="s">
        <v>155</v>
      </c>
      <c r="B112" s="7">
        <v>89949</v>
      </c>
      <c r="C112" s="7" t="str">
        <f t="shared" si="3"/>
        <v>078546000</v>
      </c>
      <c r="D112" s="7" t="s">
        <v>161</v>
      </c>
      <c r="E112" s="7">
        <v>91304</v>
      </c>
      <c r="F112" s="7" t="str">
        <f>"078207001"</f>
        <v>078207001</v>
      </c>
      <c r="H112" s="7">
        <v>378</v>
      </c>
      <c r="I112" s="11">
        <v>0.7</v>
      </c>
    </row>
    <row r="113" spans="1:9" ht="28.5">
      <c r="A113" s="7" t="s">
        <v>155</v>
      </c>
      <c r="B113" s="7">
        <v>89949</v>
      </c>
      <c r="C113" s="7" t="str">
        <f t="shared" si="3"/>
        <v>078546000</v>
      </c>
      <c r="D113" s="7" t="s">
        <v>162</v>
      </c>
      <c r="E113" s="7">
        <v>1001858</v>
      </c>
      <c r="F113" s="7" t="str">
        <f>"078546001"</f>
        <v>078546001</v>
      </c>
      <c r="H113" s="7">
        <v>120</v>
      </c>
      <c r="I113" s="11">
        <v>0.84</v>
      </c>
    </row>
    <row r="114" spans="1:9">
      <c r="A114" s="7" t="s">
        <v>163</v>
      </c>
      <c r="B114" s="7">
        <v>4272</v>
      </c>
      <c r="C114" s="7" t="str">
        <f t="shared" ref="C114:C123" si="4">"070444000"</f>
        <v>070444000</v>
      </c>
      <c r="D114" s="7" t="s">
        <v>164</v>
      </c>
      <c r="E114" s="7">
        <v>91985</v>
      </c>
      <c r="F114" s="7" t="str">
        <f>"070444112"</f>
        <v>070444112</v>
      </c>
      <c r="H114" s="7">
        <v>419</v>
      </c>
      <c r="I114" s="11">
        <v>0.81</v>
      </c>
    </row>
    <row r="115" spans="1:9">
      <c r="A115" s="7" t="s">
        <v>163</v>
      </c>
      <c r="B115" s="7">
        <v>4272</v>
      </c>
      <c r="C115" s="7" t="str">
        <f t="shared" si="4"/>
        <v>070444000</v>
      </c>
      <c r="D115" s="7" t="s">
        <v>165</v>
      </c>
      <c r="E115" s="7">
        <v>87619</v>
      </c>
      <c r="F115" s="7" t="str">
        <f>"070444111"</f>
        <v>070444111</v>
      </c>
      <c r="H115" s="7">
        <v>721</v>
      </c>
      <c r="I115" s="11">
        <v>0.57999999999999996</v>
      </c>
    </row>
    <row r="116" spans="1:9">
      <c r="A116" s="7" t="s">
        <v>163</v>
      </c>
      <c r="B116" s="7">
        <v>4272</v>
      </c>
      <c r="C116" s="7" t="str">
        <f t="shared" si="4"/>
        <v>070444000</v>
      </c>
      <c r="D116" s="7" t="s">
        <v>166</v>
      </c>
      <c r="E116" s="7">
        <v>90028</v>
      </c>
      <c r="F116" s="7" t="str">
        <f>"070444110"</f>
        <v>070444110</v>
      </c>
      <c r="H116" s="7">
        <v>1039</v>
      </c>
      <c r="I116" s="11">
        <v>0.53</v>
      </c>
    </row>
    <row r="117" spans="1:9">
      <c r="A117" s="7" t="s">
        <v>163</v>
      </c>
      <c r="B117" s="7">
        <v>4272</v>
      </c>
      <c r="C117" s="7" t="str">
        <f t="shared" si="4"/>
        <v>070444000</v>
      </c>
      <c r="D117" s="7" t="s">
        <v>167</v>
      </c>
      <c r="E117" s="7">
        <v>79670</v>
      </c>
      <c r="F117" s="7" t="str">
        <f>"070444107"</f>
        <v>070444107</v>
      </c>
      <c r="H117" s="7">
        <v>705</v>
      </c>
      <c r="I117" s="11">
        <v>0.64</v>
      </c>
    </row>
    <row r="118" spans="1:9">
      <c r="A118" s="7" t="s">
        <v>163</v>
      </c>
      <c r="B118" s="7">
        <v>4272</v>
      </c>
      <c r="C118" s="7" t="str">
        <f t="shared" si="4"/>
        <v>070444000</v>
      </c>
      <c r="D118" s="7" t="s">
        <v>168</v>
      </c>
      <c r="E118" s="7">
        <v>79792</v>
      </c>
      <c r="F118" s="7" t="str">
        <f>"070444108"</f>
        <v>070444108</v>
      </c>
      <c r="H118" s="7">
        <v>1011</v>
      </c>
      <c r="I118" s="11">
        <v>0.54</v>
      </c>
    </row>
    <row r="119" spans="1:9">
      <c r="A119" s="7" t="s">
        <v>163</v>
      </c>
      <c r="B119" s="7">
        <v>4272</v>
      </c>
      <c r="C119" s="7" t="str">
        <f t="shared" si="4"/>
        <v>070444000</v>
      </c>
      <c r="D119" s="7" t="s">
        <v>169</v>
      </c>
      <c r="E119" s="7">
        <v>5348</v>
      </c>
      <c r="F119" s="7" t="str">
        <f>"070444103"</f>
        <v>070444103</v>
      </c>
      <c r="H119" s="7">
        <v>533</v>
      </c>
      <c r="I119" s="11">
        <v>0.87</v>
      </c>
    </row>
    <row r="120" spans="1:9">
      <c r="A120" s="7" t="s">
        <v>163</v>
      </c>
      <c r="B120" s="7">
        <v>4272</v>
      </c>
      <c r="C120" s="7" t="str">
        <f t="shared" si="4"/>
        <v>070444000</v>
      </c>
      <c r="D120" s="7" t="s">
        <v>170</v>
      </c>
      <c r="E120" s="7">
        <v>5349</v>
      </c>
      <c r="F120" s="7" t="str">
        <f>"070444104"</f>
        <v>070444104</v>
      </c>
      <c r="H120" s="7">
        <v>367</v>
      </c>
      <c r="I120" s="11">
        <v>0.83</v>
      </c>
    </row>
    <row r="121" spans="1:9">
      <c r="A121" s="7" t="s">
        <v>163</v>
      </c>
      <c r="B121" s="7">
        <v>4272</v>
      </c>
      <c r="C121" s="7" t="str">
        <f t="shared" si="4"/>
        <v>070444000</v>
      </c>
      <c r="D121" s="7" t="s">
        <v>171</v>
      </c>
      <c r="E121" s="7">
        <v>5347</v>
      </c>
      <c r="F121" s="7" t="str">
        <f>"070444102"</f>
        <v>070444102</v>
      </c>
      <c r="H121" s="7">
        <v>770</v>
      </c>
      <c r="I121" s="11">
        <v>0.9</v>
      </c>
    </row>
    <row r="122" spans="1:9">
      <c r="A122" s="7" t="s">
        <v>163</v>
      </c>
      <c r="B122" s="7">
        <v>4272</v>
      </c>
      <c r="C122" s="7" t="str">
        <f t="shared" si="4"/>
        <v>070444000</v>
      </c>
      <c r="D122" s="7" t="s">
        <v>172</v>
      </c>
      <c r="E122" s="7">
        <v>80181</v>
      </c>
      <c r="F122" s="7" t="str">
        <f>"072084001"</f>
        <v>072084001</v>
      </c>
      <c r="H122" s="7">
        <v>510</v>
      </c>
      <c r="I122" s="11">
        <v>0.67</v>
      </c>
    </row>
    <row r="123" spans="1:9">
      <c r="A123" s="7" t="s">
        <v>163</v>
      </c>
      <c r="B123" s="7">
        <v>4272</v>
      </c>
      <c r="C123" s="7" t="str">
        <f t="shared" si="4"/>
        <v>070444000</v>
      </c>
      <c r="D123" s="7" t="s">
        <v>173</v>
      </c>
      <c r="E123" s="7">
        <v>78924</v>
      </c>
      <c r="F123" s="7" t="str">
        <f>"070444106"</f>
        <v>070444106</v>
      </c>
      <c r="H123" s="7">
        <v>768</v>
      </c>
      <c r="I123" s="11">
        <v>0.61</v>
      </c>
    </row>
    <row r="124" spans="1:9" ht="28.5">
      <c r="A124" s="7" t="s">
        <v>174</v>
      </c>
      <c r="B124" s="7">
        <v>4412</v>
      </c>
      <c r="C124" s="7" t="str">
        <f t="shared" ref="C124:C129" si="5">"100240000"</f>
        <v>100240000</v>
      </c>
      <c r="D124" s="7" t="s">
        <v>175</v>
      </c>
      <c r="E124" s="7">
        <v>90822</v>
      </c>
      <c r="F124" s="7" t="str">
        <f>"100240205"</f>
        <v>100240205</v>
      </c>
      <c r="G124" s="7" t="s">
        <v>16</v>
      </c>
      <c r="H124" s="7">
        <v>92</v>
      </c>
      <c r="I124" s="11" t="s">
        <v>17</v>
      </c>
    </row>
    <row r="125" spans="1:9" ht="28.5">
      <c r="A125" s="7" t="s">
        <v>174</v>
      </c>
      <c r="B125" s="7">
        <v>4412</v>
      </c>
      <c r="C125" s="7" t="str">
        <f t="shared" si="5"/>
        <v>100240000</v>
      </c>
      <c r="D125" s="7" t="s">
        <v>176</v>
      </c>
      <c r="E125" s="7">
        <v>90821</v>
      </c>
      <c r="F125" s="7" t="str">
        <f>"100240105"</f>
        <v>100240105</v>
      </c>
      <c r="G125" s="7" t="s">
        <v>16</v>
      </c>
      <c r="H125" s="7">
        <v>12</v>
      </c>
      <c r="I125" s="11" t="s">
        <v>17</v>
      </c>
    </row>
    <row r="126" spans="1:9" ht="28.5">
      <c r="A126" s="7" t="s">
        <v>174</v>
      </c>
      <c r="B126" s="7">
        <v>4412</v>
      </c>
      <c r="C126" s="7" t="str">
        <f t="shared" si="5"/>
        <v>100240000</v>
      </c>
      <c r="D126" s="7" t="s">
        <v>177</v>
      </c>
      <c r="E126" s="7">
        <v>5847</v>
      </c>
      <c r="F126" s="7" t="str">
        <f>"100240204"</f>
        <v>100240204</v>
      </c>
      <c r="G126" s="7" t="s">
        <v>16</v>
      </c>
      <c r="H126" s="7">
        <v>248</v>
      </c>
      <c r="I126" s="11" t="s">
        <v>17</v>
      </c>
    </row>
    <row r="127" spans="1:9" ht="28.5">
      <c r="A127" s="7" t="s">
        <v>174</v>
      </c>
      <c r="B127" s="7">
        <v>4412</v>
      </c>
      <c r="C127" s="7" t="str">
        <f t="shared" si="5"/>
        <v>100240000</v>
      </c>
      <c r="D127" s="7" t="s">
        <v>178</v>
      </c>
      <c r="E127" s="7">
        <v>5846</v>
      </c>
      <c r="F127" s="7" t="str">
        <f>"100240103"</f>
        <v>100240103</v>
      </c>
      <c r="G127" s="7" t="s">
        <v>16</v>
      </c>
      <c r="H127" s="7">
        <v>120</v>
      </c>
      <c r="I127" s="11" t="s">
        <v>17</v>
      </c>
    </row>
    <row r="128" spans="1:9" ht="28.5">
      <c r="A128" s="7" t="s">
        <v>174</v>
      </c>
      <c r="B128" s="7">
        <v>4412</v>
      </c>
      <c r="C128" s="7" t="str">
        <f t="shared" si="5"/>
        <v>100240000</v>
      </c>
      <c r="D128" s="7" t="s">
        <v>179</v>
      </c>
      <c r="E128" s="7">
        <v>948673</v>
      </c>
      <c r="F128" s="7" t="str">
        <f>"100240106"</f>
        <v>100240106</v>
      </c>
      <c r="G128" s="7" t="s">
        <v>16</v>
      </c>
      <c r="H128" s="7">
        <v>273</v>
      </c>
      <c r="I128" s="11" t="s">
        <v>17</v>
      </c>
    </row>
    <row r="129" spans="1:9" ht="28.5">
      <c r="A129" s="7" t="s">
        <v>174</v>
      </c>
      <c r="B129" s="7">
        <v>4412</v>
      </c>
      <c r="C129" s="7" t="str">
        <f t="shared" si="5"/>
        <v>100240000</v>
      </c>
      <c r="D129" s="7" t="s">
        <v>180</v>
      </c>
      <c r="E129" s="7">
        <v>5844</v>
      </c>
      <c r="F129" s="7" t="str">
        <f>"100240101"</f>
        <v>100240101</v>
      </c>
      <c r="G129" s="7" t="s">
        <v>16</v>
      </c>
      <c r="H129" s="7">
        <v>359</v>
      </c>
      <c r="I129" s="11" t="s">
        <v>17</v>
      </c>
    </row>
    <row r="130" spans="1:9">
      <c r="A130" s="7" t="s">
        <v>181</v>
      </c>
      <c r="B130" s="7">
        <v>4468</v>
      </c>
      <c r="C130" s="7" t="str">
        <f>"130220000"</f>
        <v>130220000</v>
      </c>
      <c r="D130" s="7" t="s">
        <v>182</v>
      </c>
      <c r="E130" s="7">
        <v>6088</v>
      </c>
      <c r="F130" s="7" t="str">
        <f>"130220101"</f>
        <v>130220101</v>
      </c>
      <c r="H130" s="7">
        <v>317</v>
      </c>
      <c r="I130" s="11">
        <v>0.46</v>
      </c>
    </row>
    <row r="131" spans="1:9">
      <c r="A131" s="7" t="s">
        <v>181</v>
      </c>
      <c r="B131" s="7">
        <v>4468</v>
      </c>
      <c r="C131" s="7" t="str">
        <f>"130220000"</f>
        <v>130220000</v>
      </c>
      <c r="D131" s="7" t="s">
        <v>183</v>
      </c>
      <c r="E131" s="7">
        <v>6089</v>
      </c>
      <c r="F131" s="7" t="str">
        <f>"130220202"</f>
        <v>130220202</v>
      </c>
      <c r="H131" s="7">
        <v>210</v>
      </c>
      <c r="I131" s="11">
        <v>0.54</v>
      </c>
    </row>
    <row r="132" spans="1:9" ht="28.5">
      <c r="A132" s="7" t="s">
        <v>184</v>
      </c>
      <c r="B132" s="7">
        <v>79204</v>
      </c>
      <c r="C132" s="7" t="str">
        <f>"078988000"</f>
        <v>078988000</v>
      </c>
      <c r="D132" s="7" t="s">
        <v>185</v>
      </c>
      <c r="E132" s="7">
        <v>10729</v>
      </c>
      <c r="F132" s="7" t="str">
        <f>"078988102"</f>
        <v>078988102</v>
      </c>
      <c r="H132" s="7">
        <v>427</v>
      </c>
      <c r="I132" s="11">
        <v>0.6</v>
      </c>
    </row>
    <row r="133" spans="1:9" ht="28.5">
      <c r="A133" s="7" t="s">
        <v>186</v>
      </c>
      <c r="B133" s="7">
        <v>4294</v>
      </c>
      <c r="C133" s="7" t="str">
        <f>"078987000"</f>
        <v>078987000</v>
      </c>
      <c r="D133" s="7" t="s">
        <v>187</v>
      </c>
      <c r="E133" s="7">
        <v>10730</v>
      </c>
      <c r="F133" s="7" t="str">
        <f>"078987103"</f>
        <v>078987103</v>
      </c>
      <c r="H133" s="7">
        <v>721</v>
      </c>
      <c r="I133" s="11">
        <v>0.51</v>
      </c>
    </row>
    <row r="134" spans="1:9" ht="28.5">
      <c r="A134" s="7" t="s">
        <v>188</v>
      </c>
      <c r="B134" s="7">
        <v>4268</v>
      </c>
      <c r="C134" s="7" t="str">
        <f>"070431000"</f>
        <v>070431000</v>
      </c>
      <c r="D134" s="7" t="s">
        <v>189</v>
      </c>
      <c r="E134" s="7">
        <v>81141</v>
      </c>
      <c r="F134" s="7" t="str">
        <f>"070431105"</f>
        <v>070431105</v>
      </c>
      <c r="G134" s="7" t="s">
        <v>16</v>
      </c>
      <c r="H134" s="7">
        <v>451</v>
      </c>
      <c r="I134" s="11">
        <v>0.95</v>
      </c>
    </row>
    <row r="135" spans="1:9" ht="28.5">
      <c r="A135" s="7" t="s">
        <v>188</v>
      </c>
      <c r="B135" s="7">
        <v>4268</v>
      </c>
      <c r="C135" s="7" t="str">
        <f>"070431000"</f>
        <v>070431000</v>
      </c>
      <c r="D135" s="7" t="s">
        <v>190</v>
      </c>
      <c r="E135" s="7">
        <v>5320</v>
      </c>
      <c r="F135" s="7" t="str">
        <f>"070431102"</f>
        <v>070431102</v>
      </c>
      <c r="G135" s="7" t="s">
        <v>16</v>
      </c>
      <c r="H135" s="7">
        <v>523</v>
      </c>
      <c r="I135" s="11" t="s">
        <v>17</v>
      </c>
    </row>
    <row r="136" spans="1:9" ht="28.5">
      <c r="A136" s="7" t="s">
        <v>188</v>
      </c>
      <c r="B136" s="7">
        <v>4268</v>
      </c>
      <c r="C136" s="7" t="str">
        <f>"070431000"</f>
        <v>070431000</v>
      </c>
      <c r="D136" s="7" t="s">
        <v>191</v>
      </c>
      <c r="E136" s="7">
        <v>5321</v>
      </c>
      <c r="F136" s="7" t="str">
        <f>"070431103"</f>
        <v>070431103</v>
      </c>
      <c r="G136" s="7" t="s">
        <v>16</v>
      </c>
      <c r="H136" s="7">
        <v>456</v>
      </c>
      <c r="I136" s="11">
        <v>0.86</v>
      </c>
    </row>
    <row r="137" spans="1:9" ht="28.5">
      <c r="A137" s="7" t="s">
        <v>188</v>
      </c>
      <c r="B137" s="7">
        <v>4268</v>
      </c>
      <c r="C137" s="7" t="str">
        <f>"070431000"</f>
        <v>070431000</v>
      </c>
      <c r="D137" s="7" t="s">
        <v>192</v>
      </c>
      <c r="E137" s="7">
        <v>92301</v>
      </c>
      <c r="F137" s="7" t="str">
        <f>"070431106"</f>
        <v>070431106</v>
      </c>
      <c r="G137" s="7" t="s">
        <v>16</v>
      </c>
      <c r="H137" s="7">
        <v>40</v>
      </c>
      <c r="I137" s="11">
        <v>0.69</v>
      </c>
    </row>
    <row r="138" spans="1:9" ht="28.5">
      <c r="A138" s="7" t="s">
        <v>188</v>
      </c>
      <c r="B138" s="7">
        <v>4268</v>
      </c>
      <c r="C138" s="7" t="str">
        <f>"070431000"</f>
        <v>070431000</v>
      </c>
      <c r="D138" s="7" t="s">
        <v>193</v>
      </c>
      <c r="E138" s="7">
        <v>5319</v>
      </c>
      <c r="F138" s="7" t="str">
        <f>"070431101"</f>
        <v>070431101</v>
      </c>
      <c r="G138" s="7" t="s">
        <v>16</v>
      </c>
      <c r="H138" s="7">
        <v>646</v>
      </c>
      <c r="I138" s="11">
        <v>0.89</v>
      </c>
    </row>
    <row r="139" spans="1:9">
      <c r="A139" s="7" t="s">
        <v>194</v>
      </c>
      <c r="B139" s="7">
        <v>549803</v>
      </c>
      <c r="C139" s="7" t="str">
        <f>"078282000"</f>
        <v>078282000</v>
      </c>
      <c r="D139" s="7" t="s">
        <v>195</v>
      </c>
      <c r="E139" s="7">
        <v>139682</v>
      </c>
      <c r="F139" s="7" t="str">
        <f>"078282001"</f>
        <v>078282001</v>
      </c>
      <c r="H139" s="7">
        <v>515</v>
      </c>
      <c r="I139" s="11">
        <v>0.62</v>
      </c>
    </row>
    <row r="140" spans="1:9">
      <c r="A140" s="7" t="s">
        <v>196</v>
      </c>
      <c r="B140" s="7">
        <v>4481</v>
      </c>
      <c r="C140" s="7" t="str">
        <f>"130326000"</f>
        <v>130326000</v>
      </c>
      <c r="D140" s="7" t="s">
        <v>197</v>
      </c>
      <c r="E140" s="7">
        <v>6116</v>
      </c>
      <c r="F140" s="7" t="str">
        <f>"130326101"</f>
        <v>130326101</v>
      </c>
      <c r="H140" s="7">
        <v>361</v>
      </c>
      <c r="I140" s="11">
        <v>0.67</v>
      </c>
    </row>
    <row r="141" spans="1:9">
      <c r="A141" s="7" t="s">
        <v>198</v>
      </c>
      <c r="B141" s="7">
        <v>79983</v>
      </c>
      <c r="C141" s="7" t="str">
        <f>"078972000"</f>
        <v>078972000</v>
      </c>
      <c r="D141" s="7" t="s">
        <v>199</v>
      </c>
      <c r="E141" s="7">
        <v>79507</v>
      </c>
      <c r="F141" s="7" t="str">
        <f>"078972101"</f>
        <v>078972101</v>
      </c>
      <c r="G141" s="7" t="s">
        <v>26</v>
      </c>
      <c r="H141" s="7">
        <v>262</v>
      </c>
      <c r="I141" s="11">
        <v>0.78</v>
      </c>
    </row>
    <row r="142" spans="1:9">
      <c r="A142" s="7" t="s">
        <v>200</v>
      </c>
      <c r="B142" s="7">
        <v>79226</v>
      </c>
      <c r="C142" s="7" t="str">
        <f>"020209000"</f>
        <v>020209000</v>
      </c>
      <c r="D142" s="7" t="s">
        <v>201</v>
      </c>
      <c r="E142" s="7">
        <v>85879</v>
      </c>
      <c r="F142" s="7" t="str">
        <f>"020209202"</f>
        <v>020209202</v>
      </c>
      <c r="H142" s="7">
        <v>43</v>
      </c>
      <c r="I142" s="11">
        <v>0.84</v>
      </c>
    </row>
    <row r="143" spans="1:9">
      <c r="A143" s="7" t="s">
        <v>200</v>
      </c>
      <c r="B143" s="7">
        <v>79226</v>
      </c>
      <c r="C143" s="7" t="str">
        <f>"020209000"</f>
        <v>020209000</v>
      </c>
      <c r="D143" s="7" t="s">
        <v>202</v>
      </c>
      <c r="E143" s="7">
        <v>4799</v>
      </c>
      <c r="F143" s="7" t="str">
        <f>"020209201"</f>
        <v>020209201</v>
      </c>
      <c r="H143" s="7">
        <v>414</v>
      </c>
      <c r="I143" s="11">
        <v>0.46</v>
      </c>
    </row>
    <row r="144" spans="1:9">
      <c r="A144" s="7" t="s">
        <v>200</v>
      </c>
      <c r="B144" s="7">
        <v>79226</v>
      </c>
      <c r="C144" s="7" t="str">
        <f>"020209000"</f>
        <v>020209000</v>
      </c>
      <c r="D144" s="7" t="s">
        <v>203</v>
      </c>
      <c r="E144" s="7">
        <v>4794</v>
      </c>
      <c r="F144" s="7" t="str">
        <f>"020209102"</f>
        <v>020209102</v>
      </c>
      <c r="H144" s="7">
        <v>288</v>
      </c>
      <c r="I144" s="11">
        <v>0.61</v>
      </c>
    </row>
    <row r="145" spans="1:9">
      <c r="A145" s="7" t="s">
        <v>200</v>
      </c>
      <c r="B145" s="7">
        <v>79226</v>
      </c>
      <c r="C145" s="7" t="str">
        <f>"020209000"</f>
        <v>020209000</v>
      </c>
      <c r="D145" s="7" t="s">
        <v>204</v>
      </c>
      <c r="E145" s="7">
        <v>4793</v>
      </c>
      <c r="F145" s="7" t="str">
        <f>"020209101"</f>
        <v>020209101</v>
      </c>
      <c r="H145" s="7">
        <v>613</v>
      </c>
      <c r="I145" s="11">
        <v>0.57999999999999996</v>
      </c>
    </row>
    <row r="146" spans="1:9">
      <c r="A146" s="7" t="s">
        <v>205</v>
      </c>
      <c r="B146" s="7">
        <v>4515</v>
      </c>
      <c r="C146" s="7" t="str">
        <f>"150576000"</f>
        <v>150576000</v>
      </c>
      <c r="D146" s="7" t="s">
        <v>206</v>
      </c>
      <c r="E146" s="7">
        <v>6203</v>
      </c>
      <c r="F146" s="7" t="str">
        <f>"150576201"</f>
        <v>150576201</v>
      </c>
      <c r="G146" s="7" t="s">
        <v>26</v>
      </c>
      <c r="H146" s="7">
        <v>120</v>
      </c>
      <c r="I146" s="11">
        <v>0.8</v>
      </c>
    </row>
    <row r="147" spans="1:9">
      <c r="A147" s="7" t="s">
        <v>207</v>
      </c>
      <c r="B147" s="7">
        <v>4169</v>
      </c>
      <c r="C147" s="7" t="str">
        <f>"020202000"</f>
        <v>020202000</v>
      </c>
      <c r="D147" s="7" t="s">
        <v>208</v>
      </c>
      <c r="E147" s="7">
        <v>4754</v>
      </c>
      <c r="F147" s="7" t="str">
        <f>"020202201"</f>
        <v>020202201</v>
      </c>
      <c r="H147" s="7">
        <v>328</v>
      </c>
      <c r="I147" s="11">
        <v>0.62</v>
      </c>
    </row>
    <row r="148" spans="1:9">
      <c r="A148" s="7" t="s">
        <v>207</v>
      </c>
      <c r="B148" s="7">
        <v>4169</v>
      </c>
      <c r="C148" s="7" t="str">
        <f>"020202000"</f>
        <v>020202000</v>
      </c>
      <c r="D148" s="7" t="s">
        <v>209</v>
      </c>
      <c r="E148" s="7">
        <v>4752</v>
      </c>
      <c r="F148" s="7" t="str">
        <f>"020202103"</f>
        <v>020202103</v>
      </c>
      <c r="H148" s="7">
        <v>228</v>
      </c>
      <c r="I148" s="11">
        <v>0.8</v>
      </c>
    </row>
    <row r="149" spans="1:9">
      <c r="A149" s="7" t="s">
        <v>207</v>
      </c>
      <c r="B149" s="7">
        <v>4169</v>
      </c>
      <c r="C149" s="7" t="str">
        <f>"020202000"</f>
        <v>020202000</v>
      </c>
      <c r="D149" s="7" t="s">
        <v>210</v>
      </c>
      <c r="E149" s="7">
        <v>4753</v>
      </c>
      <c r="F149" s="7" t="str">
        <f>"020202105"</f>
        <v>020202105</v>
      </c>
      <c r="H149" s="7">
        <v>114</v>
      </c>
      <c r="I149" s="11">
        <v>0.78</v>
      </c>
    </row>
    <row r="150" spans="1:9" ht="28.5">
      <c r="A150" s="7" t="s">
        <v>211</v>
      </c>
      <c r="B150" s="7">
        <v>9688</v>
      </c>
      <c r="C150" s="7" t="str">
        <f>"093901000"</f>
        <v>093901000</v>
      </c>
      <c r="D150" s="7" t="s">
        <v>211</v>
      </c>
      <c r="E150" s="7">
        <v>80426</v>
      </c>
      <c r="F150" s="7" t="str">
        <f>"093901001"</f>
        <v>093901001</v>
      </c>
      <c r="G150" s="7" t="s">
        <v>16</v>
      </c>
      <c r="H150" s="7">
        <v>50</v>
      </c>
      <c r="I150" s="11" t="s">
        <v>17</v>
      </c>
    </row>
    <row r="151" spans="1:9" ht="28.5">
      <c r="A151" s="7" t="s">
        <v>212</v>
      </c>
      <c r="B151" s="7">
        <v>91760</v>
      </c>
      <c r="C151" s="7" t="str">
        <f>"114002000"</f>
        <v>114002000</v>
      </c>
      <c r="D151" s="7" t="s">
        <v>213</v>
      </c>
      <c r="E151" s="7">
        <v>91761</v>
      </c>
      <c r="F151" s="7" t="str">
        <f>"114002001"</f>
        <v>114002001</v>
      </c>
      <c r="G151" s="7" t="s">
        <v>16</v>
      </c>
      <c r="H151" s="7">
        <v>335</v>
      </c>
      <c r="I151" s="11" t="s">
        <v>17</v>
      </c>
    </row>
    <row r="152" spans="1:9">
      <c r="A152" s="7" t="s">
        <v>214</v>
      </c>
      <c r="B152" s="7">
        <v>4397</v>
      </c>
      <c r="C152" s="7" t="str">
        <f>"090232000"</f>
        <v>090232000</v>
      </c>
      <c r="D152" s="7" t="s">
        <v>215</v>
      </c>
      <c r="E152" s="7">
        <v>5645</v>
      </c>
      <c r="F152" s="7" t="str">
        <f>"090232101"</f>
        <v>090232101</v>
      </c>
      <c r="H152" s="7">
        <v>831</v>
      </c>
      <c r="I152" s="11">
        <v>0.68</v>
      </c>
    </row>
    <row r="153" spans="1:9">
      <c r="A153" s="7" t="s">
        <v>214</v>
      </c>
      <c r="B153" s="7">
        <v>4397</v>
      </c>
      <c r="C153" s="7" t="str">
        <f>"090232000"</f>
        <v>090232000</v>
      </c>
      <c r="D153" s="7" t="s">
        <v>216</v>
      </c>
      <c r="E153" s="7">
        <v>5648</v>
      </c>
      <c r="F153" s="7" t="str">
        <f>"090232204"</f>
        <v>090232204</v>
      </c>
      <c r="H153" s="7">
        <v>726</v>
      </c>
      <c r="I153" s="11">
        <v>0.55000000000000004</v>
      </c>
    </row>
    <row r="154" spans="1:9">
      <c r="A154" s="7" t="s">
        <v>214</v>
      </c>
      <c r="B154" s="7">
        <v>4397</v>
      </c>
      <c r="C154" s="7" t="str">
        <f>"090232000"</f>
        <v>090232000</v>
      </c>
      <c r="D154" s="7" t="s">
        <v>217</v>
      </c>
      <c r="E154" s="7">
        <v>5647</v>
      </c>
      <c r="F154" s="7" t="str">
        <f>"090232103"</f>
        <v>090232103</v>
      </c>
      <c r="H154" s="7">
        <v>240</v>
      </c>
      <c r="I154" s="11">
        <v>0.57999999999999996</v>
      </c>
    </row>
    <row r="155" spans="1:9">
      <c r="A155" s="7" t="s">
        <v>218</v>
      </c>
      <c r="B155" s="7">
        <v>4224</v>
      </c>
      <c r="C155" s="7" t="str">
        <f>"050316000"</f>
        <v>050316000</v>
      </c>
      <c r="D155" s="7" t="s">
        <v>219</v>
      </c>
      <c r="E155" s="7">
        <v>4896</v>
      </c>
      <c r="F155" s="7" t="str">
        <f>"050316101"</f>
        <v>050316101</v>
      </c>
      <c r="H155" s="7">
        <v>83</v>
      </c>
      <c r="I155" s="11">
        <v>0.57999999999999996</v>
      </c>
    </row>
    <row r="156" spans="1:9" ht="28.5">
      <c r="A156" s="7" t="s">
        <v>220</v>
      </c>
      <c r="B156" s="7">
        <v>4513</v>
      </c>
      <c r="C156" s="7" t="str">
        <f>"150426000"</f>
        <v>150426000</v>
      </c>
      <c r="D156" s="7" t="s">
        <v>221</v>
      </c>
      <c r="E156" s="7">
        <v>6201</v>
      </c>
      <c r="F156" s="7" t="str">
        <f>"150426101"</f>
        <v>150426101</v>
      </c>
      <c r="G156" s="7" t="s">
        <v>16</v>
      </c>
      <c r="H156" s="7">
        <v>50</v>
      </c>
      <c r="I156" s="11" t="s">
        <v>17</v>
      </c>
    </row>
    <row r="157" spans="1:9">
      <c r="A157" s="7" t="s">
        <v>222</v>
      </c>
      <c r="B157" s="7">
        <v>4171</v>
      </c>
      <c r="C157" s="7" t="str">
        <f>"020214000"</f>
        <v>020214000</v>
      </c>
      <c r="D157" s="7" t="s">
        <v>223</v>
      </c>
      <c r="E157" s="7">
        <v>4758</v>
      </c>
      <c r="F157" s="7" t="str">
        <f>"020214100"</f>
        <v>020214100</v>
      </c>
      <c r="H157" s="7">
        <v>62</v>
      </c>
      <c r="I157" s="11">
        <v>0.73</v>
      </c>
    </row>
    <row r="158" spans="1:9">
      <c r="A158" s="7" t="s">
        <v>222</v>
      </c>
      <c r="B158" s="7">
        <v>4171</v>
      </c>
      <c r="C158" s="7" t="str">
        <f>"020214000"</f>
        <v>020214000</v>
      </c>
      <c r="D158" s="7" t="s">
        <v>224</v>
      </c>
      <c r="E158" s="7">
        <v>4759</v>
      </c>
      <c r="F158" s="7" t="str">
        <f>"020214200"</f>
        <v>020214200</v>
      </c>
      <c r="H158" s="7">
        <v>34</v>
      </c>
      <c r="I158" s="11">
        <v>0.68</v>
      </c>
    </row>
    <row r="159" spans="1:9">
      <c r="A159" s="7" t="s">
        <v>225</v>
      </c>
      <c r="B159" s="7">
        <v>4269</v>
      </c>
      <c r="C159" s="7" t="str">
        <f t="shared" ref="C159:C166" si="6">"070433000"</f>
        <v>070433000</v>
      </c>
      <c r="D159" s="7" t="s">
        <v>226</v>
      </c>
      <c r="E159" s="7">
        <v>81110</v>
      </c>
      <c r="F159" s="7" t="str">
        <f>"070433102"</f>
        <v>070433102</v>
      </c>
      <c r="H159" s="7">
        <v>672</v>
      </c>
      <c r="I159" s="11">
        <v>0.75</v>
      </c>
    </row>
    <row r="160" spans="1:9">
      <c r="A160" s="7" t="s">
        <v>225</v>
      </c>
      <c r="B160" s="7">
        <v>4269</v>
      </c>
      <c r="C160" s="7" t="str">
        <f t="shared" si="6"/>
        <v>070433000</v>
      </c>
      <c r="D160" s="7" t="s">
        <v>227</v>
      </c>
      <c r="E160" s="7">
        <v>87473</v>
      </c>
      <c r="F160" s="7" t="str">
        <f>"070433109"</f>
        <v>070433109</v>
      </c>
      <c r="H160" s="7">
        <v>1183</v>
      </c>
      <c r="I160" s="11">
        <v>0.79</v>
      </c>
    </row>
    <row r="161" spans="1:9">
      <c r="A161" s="7" t="s">
        <v>225</v>
      </c>
      <c r="B161" s="7">
        <v>4269</v>
      </c>
      <c r="C161" s="7" t="str">
        <f t="shared" si="6"/>
        <v>070433000</v>
      </c>
      <c r="D161" s="7" t="s">
        <v>228</v>
      </c>
      <c r="E161" s="7">
        <v>90341</v>
      </c>
      <c r="F161" s="7" t="str">
        <f>"070433107"</f>
        <v>070433107</v>
      </c>
      <c r="H161" s="7">
        <v>626</v>
      </c>
      <c r="I161" s="11">
        <v>0.67</v>
      </c>
    </row>
    <row r="162" spans="1:9" ht="28.5">
      <c r="A162" s="7" t="s">
        <v>225</v>
      </c>
      <c r="B162" s="7">
        <v>4269</v>
      </c>
      <c r="C162" s="7" t="str">
        <f t="shared" si="6"/>
        <v>070433000</v>
      </c>
      <c r="D162" s="7" t="s">
        <v>229</v>
      </c>
      <c r="E162" s="7">
        <v>1001730</v>
      </c>
      <c r="F162" s="7" t="str">
        <f>"070433110"</f>
        <v>070433110</v>
      </c>
      <c r="H162" s="7">
        <v>751</v>
      </c>
      <c r="I162" s="11">
        <v>0.61</v>
      </c>
    </row>
    <row r="163" spans="1:9">
      <c r="A163" s="7" t="s">
        <v>225</v>
      </c>
      <c r="B163" s="7">
        <v>4269</v>
      </c>
      <c r="C163" s="7" t="str">
        <f t="shared" si="6"/>
        <v>070433000</v>
      </c>
      <c r="D163" s="7" t="s">
        <v>230</v>
      </c>
      <c r="E163" s="7">
        <v>527220</v>
      </c>
      <c r="F163" s="7" t="str">
        <f>"070433106"</f>
        <v>070433106</v>
      </c>
      <c r="H163" s="7">
        <v>729</v>
      </c>
      <c r="I163" s="11">
        <v>0.74</v>
      </c>
    </row>
    <row r="164" spans="1:9" ht="28.5">
      <c r="A164" s="7" t="s">
        <v>225</v>
      </c>
      <c r="B164" s="7">
        <v>4269</v>
      </c>
      <c r="C164" s="7" t="str">
        <f t="shared" si="6"/>
        <v>070433000</v>
      </c>
      <c r="D164" s="7" t="s">
        <v>231</v>
      </c>
      <c r="E164" s="7">
        <v>89572</v>
      </c>
      <c r="F164" s="7" t="str">
        <f>"070433104"</f>
        <v>070433104</v>
      </c>
      <c r="H164" s="7">
        <v>874</v>
      </c>
      <c r="I164" s="11">
        <v>0.75</v>
      </c>
    </row>
    <row r="165" spans="1:9">
      <c r="A165" s="7" t="s">
        <v>225</v>
      </c>
      <c r="B165" s="7">
        <v>4269</v>
      </c>
      <c r="C165" s="7" t="str">
        <f t="shared" si="6"/>
        <v>070433000</v>
      </c>
      <c r="D165" s="7" t="s">
        <v>232</v>
      </c>
      <c r="E165" s="7">
        <v>87471</v>
      </c>
      <c r="F165" s="7" t="str">
        <f>"070433105"</f>
        <v>070433105</v>
      </c>
      <c r="H165" s="7">
        <v>633</v>
      </c>
      <c r="I165" s="11">
        <v>0.76</v>
      </c>
    </row>
    <row r="166" spans="1:9">
      <c r="A166" s="7" t="s">
        <v>225</v>
      </c>
      <c r="B166" s="7">
        <v>4269</v>
      </c>
      <c r="C166" s="7" t="str">
        <f t="shared" si="6"/>
        <v>070433000</v>
      </c>
      <c r="D166" s="7" t="s">
        <v>233</v>
      </c>
      <c r="E166" s="7">
        <v>88398</v>
      </c>
      <c r="F166" s="7" t="str">
        <f>"070433103"</f>
        <v>070433103</v>
      </c>
      <c r="H166" s="7">
        <v>618</v>
      </c>
      <c r="I166" s="11">
        <v>0.66</v>
      </c>
    </row>
    <row r="167" spans="1:9">
      <c r="A167" s="7" t="s">
        <v>234</v>
      </c>
      <c r="B167" s="7">
        <v>4284</v>
      </c>
      <c r="C167" s="7" t="str">
        <f>"070501000"</f>
        <v>070501000</v>
      </c>
      <c r="D167" s="7" t="s">
        <v>235</v>
      </c>
      <c r="E167" s="7">
        <v>5424</v>
      </c>
      <c r="F167" s="7" t="str">
        <f>"070501201"</f>
        <v>070501201</v>
      </c>
      <c r="H167" s="7">
        <v>1835</v>
      </c>
      <c r="I167" s="11">
        <v>0.64</v>
      </c>
    </row>
    <row r="168" spans="1:9">
      <c r="A168" s="7" t="s">
        <v>234</v>
      </c>
      <c r="B168" s="7">
        <v>4284</v>
      </c>
      <c r="C168" s="7" t="str">
        <f>"070501000"</f>
        <v>070501000</v>
      </c>
      <c r="D168" s="7" t="s">
        <v>236</v>
      </c>
      <c r="E168" s="7">
        <v>79376</v>
      </c>
      <c r="F168" s="7" t="str">
        <f>"070501202"</f>
        <v>070501202</v>
      </c>
      <c r="H168" s="7">
        <v>1476</v>
      </c>
      <c r="I168" s="11">
        <v>0.39</v>
      </c>
    </row>
    <row r="169" spans="1:9">
      <c r="A169" s="7" t="s">
        <v>234</v>
      </c>
      <c r="B169" s="7">
        <v>4284</v>
      </c>
      <c r="C169" s="7" t="str">
        <f>"070501000"</f>
        <v>070501000</v>
      </c>
      <c r="D169" s="7" t="s">
        <v>237</v>
      </c>
      <c r="E169" s="7">
        <v>89573</v>
      </c>
      <c r="F169" s="7" t="str">
        <f>"070501204"</f>
        <v>070501204</v>
      </c>
      <c r="H169" s="7">
        <v>2407</v>
      </c>
      <c r="I169" s="11">
        <v>0.61</v>
      </c>
    </row>
    <row r="170" spans="1:9" ht="28.5">
      <c r="A170" s="7" t="s">
        <v>238</v>
      </c>
      <c r="B170" s="7">
        <v>4378</v>
      </c>
      <c r="C170" s="7" t="str">
        <f t="shared" ref="C170:C175" si="7">"080415000"</f>
        <v>080415000</v>
      </c>
      <c r="D170" s="7" t="s">
        <v>239</v>
      </c>
      <c r="E170" s="7">
        <v>5587</v>
      </c>
      <c r="F170" s="7" t="str">
        <f>"080415130"</f>
        <v>080415130</v>
      </c>
      <c r="G170" s="7" t="s">
        <v>16</v>
      </c>
      <c r="H170" s="7">
        <v>550</v>
      </c>
      <c r="I170" s="11">
        <v>0.92</v>
      </c>
    </row>
    <row r="171" spans="1:9" ht="28.5">
      <c r="A171" s="7" t="s">
        <v>238</v>
      </c>
      <c r="B171" s="7">
        <v>4378</v>
      </c>
      <c r="C171" s="7" t="str">
        <f t="shared" si="7"/>
        <v>080415000</v>
      </c>
      <c r="D171" s="7" t="s">
        <v>240</v>
      </c>
      <c r="E171" s="7">
        <v>5583</v>
      </c>
      <c r="F171" s="7" t="str">
        <f>"080415103"</f>
        <v>080415103</v>
      </c>
      <c r="G171" s="7" t="s">
        <v>16</v>
      </c>
      <c r="H171" s="7">
        <v>95</v>
      </c>
      <c r="I171" s="11" t="s">
        <v>17</v>
      </c>
    </row>
    <row r="172" spans="1:9" ht="28.5">
      <c r="A172" s="7" t="s">
        <v>238</v>
      </c>
      <c r="B172" s="7">
        <v>4378</v>
      </c>
      <c r="C172" s="7" t="str">
        <f t="shared" si="7"/>
        <v>080415000</v>
      </c>
      <c r="D172" s="7" t="s">
        <v>241</v>
      </c>
      <c r="E172" s="7">
        <v>5584</v>
      </c>
      <c r="F172" s="7" t="str">
        <f>"080415105"</f>
        <v>080415105</v>
      </c>
      <c r="G172" s="7" t="s">
        <v>16</v>
      </c>
      <c r="H172" s="7">
        <v>500</v>
      </c>
      <c r="I172" s="11" t="s">
        <v>17</v>
      </c>
    </row>
    <row r="173" spans="1:9" ht="28.5">
      <c r="A173" s="7" t="s">
        <v>238</v>
      </c>
      <c r="B173" s="7">
        <v>4378</v>
      </c>
      <c r="C173" s="7" t="str">
        <f t="shared" si="7"/>
        <v>080415000</v>
      </c>
      <c r="D173" s="7" t="s">
        <v>242</v>
      </c>
      <c r="E173" s="7">
        <v>5585</v>
      </c>
      <c r="F173" s="7" t="str">
        <f>"080415107"</f>
        <v>080415107</v>
      </c>
      <c r="G173" s="7" t="s">
        <v>16</v>
      </c>
      <c r="H173" s="7">
        <v>450</v>
      </c>
      <c r="I173" s="11">
        <v>0.85</v>
      </c>
    </row>
    <row r="174" spans="1:9" ht="28.5">
      <c r="A174" s="7" t="s">
        <v>238</v>
      </c>
      <c r="B174" s="7">
        <v>4378</v>
      </c>
      <c r="C174" s="7" t="str">
        <f t="shared" si="7"/>
        <v>080415000</v>
      </c>
      <c r="D174" s="7" t="s">
        <v>243</v>
      </c>
      <c r="E174" s="7">
        <v>6048</v>
      </c>
      <c r="F174" s="7" t="str">
        <f>"080415110"</f>
        <v>080415110</v>
      </c>
      <c r="G174" s="7" t="s">
        <v>16</v>
      </c>
      <c r="H174" s="7">
        <v>600</v>
      </c>
      <c r="I174" s="11">
        <v>0.8</v>
      </c>
    </row>
    <row r="175" spans="1:9" ht="28.5">
      <c r="A175" s="7" t="s">
        <v>238</v>
      </c>
      <c r="B175" s="7">
        <v>4378</v>
      </c>
      <c r="C175" s="7" t="str">
        <f t="shared" si="7"/>
        <v>080415000</v>
      </c>
      <c r="D175" s="7" t="s">
        <v>244</v>
      </c>
      <c r="E175" s="7">
        <v>79655</v>
      </c>
      <c r="F175" s="7" t="str">
        <f>"080415104"</f>
        <v>080415104</v>
      </c>
      <c r="G175" s="7" t="s">
        <v>16</v>
      </c>
      <c r="H175" s="7">
        <v>400</v>
      </c>
      <c r="I175" s="11">
        <v>0.89</v>
      </c>
    </row>
    <row r="176" spans="1:9" ht="28.5">
      <c r="A176" s="7" t="s">
        <v>245</v>
      </c>
      <c r="B176" s="7">
        <v>90327</v>
      </c>
      <c r="C176" s="7" t="str">
        <f>"078564000"</f>
        <v>078564000</v>
      </c>
      <c r="D176" s="7" t="s">
        <v>246</v>
      </c>
      <c r="E176" s="7">
        <v>92235</v>
      </c>
      <c r="F176" s="7" t="str">
        <f>"078564002"</f>
        <v>078564002</v>
      </c>
      <c r="H176" s="7">
        <v>319</v>
      </c>
      <c r="I176" s="11">
        <v>0.56999999999999995</v>
      </c>
    </row>
    <row r="177" spans="1:9" ht="28.5">
      <c r="A177" s="7" t="s">
        <v>247</v>
      </c>
      <c r="B177" s="7">
        <v>79971</v>
      </c>
      <c r="C177" s="7" t="str">
        <f>"098749000"</f>
        <v>098749000</v>
      </c>
      <c r="D177" s="7" t="s">
        <v>248</v>
      </c>
      <c r="E177" s="7">
        <v>81102</v>
      </c>
      <c r="F177" s="7" t="str">
        <f>"098749002"</f>
        <v>098749002</v>
      </c>
      <c r="G177" s="7" t="s">
        <v>16</v>
      </c>
      <c r="H177" s="7">
        <v>169</v>
      </c>
      <c r="I177" s="11">
        <v>0.94</v>
      </c>
    </row>
    <row r="178" spans="1:9">
      <c r="A178" s="7" t="s">
        <v>249</v>
      </c>
      <c r="B178" s="7">
        <v>79055</v>
      </c>
      <c r="C178" s="7" t="str">
        <f>"078909000"</f>
        <v>078909000</v>
      </c>
      <c r="D178" s="7" t="s">
        <v>250</v>
      </c>
      <c r="E178" s="7">
        <v>80463</v>
      </c>
      <c r="F178" s="7" t="str">
        <f>"078909102"</f>
        <v>078909102</v>
      </c>
      <c r="H178" s="7">
        <v>577</v>
      </c>
      <c r="I178" s="11">
        <v>0.54</v>
      </c>
    </row>
    <row r="179" spans="1:9">
      <c r="A179" s="7" t="s">
        <v>251</v>
      </c>
      <c r="B179" s="7">
        <v>79905</v>
      </c>
      <c r="C179" s="7" t="str">
        <f>"078959000"</f>
        <v>078959000</v>
      </c>
      <c r="D179" s="7" t="s">
        <v>252</v>
      </c>
      <c r="E179" s="7">
        <v>79906</v>
      </c>
      <c r="F179" s="7" t="str">
        <f>"078959001"</f>
        <v>078959001</v>
      </c>
      <c r="G179" s="7" t="s">
        <v>26</v>
      </c>
      <c r="H179" s="7">
        <v>629</v>
      </c>
      <c r="I179" s="11">
        <v>0.67</v>
      </c>
    </row>
    <row r="180" spans="1:9" ht="28.5">
      <c r="A180" s="7" t="s">
        <v>253</v>
      </c>
      <c r="B180" s="7">
        <v>4470</v>
      </c>
      <c r="C180" s="7" t="str">
        <f>"130228000"</f>
        <v>130228000</v>
      </c>
      <c r="D180" s="7" t="s">
        <v>254</v>
      </c>
      <c r="E180" s="7">
        <v>84659</v>
      </c>
      <c r="F180" s="7" t="str">
        <f>"130228304"</f>
        <v>130228304</v>
      </c>
      <c r="H180" s="7">
        <v>51</v>
      </c>
      <c r="I180" s="11">
        <v>0.73</v>
      </c>
    </row>
    <row r="181" spans="1:9">
      <c r="A181" s="7" t="s">
        <v>253</v>
      </c>
      <c r="B181" s="7">
        <v>4470</v>
      </c>
      <c r="C181" s="7" t="str">
        <f>"130228000"</f>
        <v>130228000</v>
      </c>
      <c r="D181" s="7" t="s">
        <v>255</v>
      </c>
      <c r="E181" s="7">
        <v>6098</v>
      </c>
      <c r="F181" s="7" t="str">
        <f>"130228101"</f>
        <v>130228101</v>
      </c>
      <c r="H181" s="7">
        <v>737</v>
      </c>
      <c r="I181" s="11">
        <v>0.68</v>
      </c>
    </row>
    <row r="182" spans="1:9">
      <c r="A182" s="7" t="s">
        <v>253</v>
      </c>
      <c r="B182" s="7">
        <v>4470</v>
      </c>
      <c r="C182" s="7" t="str">
        <f>"130228000"</f>
        <v>130228000</v>
      </c>
      <c r="D182" s="7" t="s">
        <v>256</v>
      </c>
      <c r="E182" s="7">
        <v>6100</v>
      </c>
      <c r="F182" s="7" t="str">
        <f>"130228203"</f>
        <v>130228203</v>
      </c>
      <c r="H182" s="7">
        <v>487</v>
      </c>
      <c r="I182" s="11">
        <v>0.54</v>
      </c>
    </row>
    <row r="183" spans="1:9">
      <c r="A183" s="7" t="s">
        <v>253</v>
      </c>
      <c r="B183" s="7">
        <v>4470</v>
      </c>
      <c r="C183" s="7" t="str">
        <f>"130228000"</f>
        <v>130228000</v>
      </c>
      <c r="D183" s="7" t="s">
        <v>257</v>
      </c>
      <c r="E183" s="7">
        <v>6099</v>
      </c>
      <c r="F183" s="7" t="str">
        <f>"130228102"</f>
        <v>130228102</v>
      </c>
      <c r="H183" s="7">
        <v>376</v>
      </c>
      <c r="I183" s="11">
        <v>0.68</v>
      </c>
    </row>
    <row r="184" spans="1:9" ht="28.5">
      <c r="A184" s="7" t="s">
        <v>258</v>
      </c>
      <c r="B184" s="7">
        <v>4484</v>
      </c>
      <c r="C184" s="7" t="str">
        <f>"130350000"</f>
        <v>130350000</v>
      </c>
      <c r="D184" s="7" t="s">
        <v>259</v>
      </c>
      <c r="E184" s="7">
        <v>6119</v>
      </c>
      <c r="F184" s="7" t="str">
        <f>"130350101"</f>
        <v>130350101</v>
      </c>
      <c r="G184" s="7" t="s">
        <v>16</v>
      </c>
      <c r="H184" s="7">
        <v>133</v>
      </c>
      <c r="I184" s="11">
        <v>0.81</v>
      </c>
    </row>
    <row r="185" spans="1:9">
      <c r="A185" s="7" t="s">
        <v>260</v>
      </c>
      <c r="B185" s="7">
        <v>79302</v>
      </c>
      <c r="C185" s="7" t="str">
        <f>"072107000"</f>
        <v>072107000</v>
      </c>
      <c r="D185" s="7" t="s">
        <v>260</v>
      </c>
      <c r="E185" s="7">
        <v>79303</v>
      </c>
      <c r="F185" s="7" t="str">
        <f>"072107001"</f>
        <v>072107001</v>
      </c>
      <c r="H185" s="7">
        <v>145</v>
      </c>
      <c r="I185" s="11" t="s">
        <v>17</v>
      </c>
    </row>
    <row r="186" spans="1:9">
      <c r="A186" s="7" t="s">
        <v>260</v>
      </c>
      <c r="B186" s="7">
        <v>79302</v>
      </c>
      <c r="C186" s="7" t="str">
        <f>"072107000"</f>
        <v>072107000</v>
      </c>
      <c r="D186" s="7" t="s">
        <v>261</v>
      </c>
      <c r="E186" s="7">
        <v>89565</v>
      </c>
      <c r="F186" s="7" t="str">
        <f>"072107002"</f>
        <v>072107002</v>
      </c>
      <c r="H186" s="7">
        <v>13</v>
      </c>
      <c r="I186" s="11" t="s">
        <v>17</v>
      </c>
    </row>
    <row r="187" spans="1:9" ht="28.5">
      <c r="A187" s="7" t="s">
        <v>262</v>
      </c>
      <c r="B187" s="7">
        <v>4400</v>
      </c>
      <c r="C187" s="7" t="str">
        <f>"098745000"</f>
        <v>098745000</v>
      </c>
      <c r="D187" s="7" t="s">
        <v>263</v>
      </c>
      <c r="E187" s="7">
        <v>5652</v>
      </c>
      <c r="F187" s="7" t="str">
        <f>"098745204"</f>
        <v>098745204</v>
      </c>
      <c r="G187" s="7" t="s">
        <v>16</v>
      </c>
      <c r="H187" s="7">
        <v>72</v>
      </c>
      <c r="I187" s="11">
        <v>0.84</v>
      </c>
    </row>
    <row r="188" spans="1:9" ht="28.5">
      <c r="A188" s="7" t="s">
        <v>264</v>
      </c>
      <c r="B188" s="7">
        <v>79047</v>
      </c>
      <c r="C188" s="7" t="str">
        <f>"078524000"</f>
        <v>078524000</v>
      </c>
      <c r="D188" s="7" t="s">
        <v>265</v>
      </c>
      <c r="E188" s="7">
        <v>80050</v>
      </c>
      <c r="F188" s="7" t="str">
        <f>"078524001"</f>
        <v>078524001</v>
      </c>
      <c r="G188" s="7" t="s">
        <v>16</v>
      </c>
      <c r="H188" s="7">
        <v>148</v>
      </c>
      <c r="I188" s="11">
        <v>0.92</v>
      </c>
    </row>
    <row r="189" spans="1:9" ht="28.5">
      <c r="A189" s="7" t="s">
        <v>264</v>
      </c>
      <c r="B189" s="7">
        <v>79047</v>
      </c>
      <c r="C189" s="7" t="str">
        <f>"078524000"</f>
        <v>078524000</v>
      </c>
      <c r="D189" s="7" t="s">
        <v>266</v>
      </c>
      <c r="E189" s="7">
        <v>80025</v>
      </c>
      <c r="F189" s="7" t="str">
        <f>"078524202"</f>
        <v>078524202</v>
      </c>
      <c r="G189" s="7" t="s">
        <v>16</v>
      </c>
      <c r="H189" s="7">
        <v>692</v>
      </c>
      <c r="I189" s="11">
        <v>0.83</v>
      </c>
    </row>
    <row r="190" spans="1:9" ht="28.5">
      <c r="A190" s="7" t="s">
        <v>264</v>
      </c>
      <c r="B190" s="7">
        <v>79047</v>
      </c>
      <c r="C190" s="7" t="str">
        <f>"078524000"</f>
        <v>078524000</v>
      </c>
      <c r="D190" s="7" t="s">
        <v>267</v>
      </c>
      <c r="E190" s="7">
        <v>80430</v>
      </c>
      <c r="F190" s="7" t="str">
        <f>"078524203"</f>
        <v>078524203</v>
      </c>
      <c r="G190" s="7" t="s">
        <v>16</v>
      </c>
      <c r="H190" s="7">
        <v>72</v>
      </c>
      <c r="I190" s="11" t="s">
        <v>17</v>
      </c>
    </row>
    <row r="191" spans="1:9" ht="28.5">
      <c r="A191" s="7" t="s">
        <v>264</v>
      </c>
      <c r="B191" s="7">
        <v>79047</v>
      </c>
      <c r="C191" s="7" t="str">
        <f>"078524000"</f>
        <v>078524000</v>
      </c>
      <c r="D191" s="7" t="s">
        <v>268</v>
      </c>
      <c r="E191" s="7">
        <v>79129</v>
      </c>
      <c r="F191" s="7" t="str">
        <f>"078524201"</f>
        <v>078524201</v>
      </c>
      <c r="G191" s="7" t="s">
        <v>16</v>
      </c>
      <c r="H191" s="7">
        <v>412</v>
      </c>
      <c r="I191" s="11">
        <v>0.7</v>
      </c>
    </row>
    <row r="192" spans="1:9" ht="28.5">
      <c r="A192" s="7" t="s">
        <v>269</v>
      </c>
      <c r="B192" s="7">
        <v>4282</v>
      </c>
      <c r="C192" s="7" t="str">
        <f t="shared" ref="C192:C212" si="8">"070483000"</f>
        <v>070483000</v>
      </c>
      <c r="D192" s="7" t="s">
        <v>270</v>
      </c>
      <c r="E192" s="7">
        <v>79283</v>
      </c>
      <c r="F192" s="7" t="str">
        <f>"070483122"</f>
        <v>070483122</v>
      </c>
      <c r="G192" s="7" t="s">
        <v>26</v>
      </c>
      <c r="H192" s="7">
        <v>600</v>
      </c>
      <c r="I192" s="11">
        <v>0.72</v>
      </c>
    </row>
    <row r="193" spans="1:9">
      <c r="A193" s="7" t="s">
        <v>269</v>
      </c>
      <c r="B193" s="7">
        <v>4282</v>
      </c>
      <c r="C193" s="7" t="str">
        <f t="shared" si="8"/>
        <v>070483000</v>
      </c>
      <c r="D193" s="7" t="s">
        <v>271</v>
      </c>
      <c r="E193" s="7">
        <v>5408</v>
      </c>
      <c r="F193" s="7" t="str">
        <f>"070483111"</f>
        <v>070483111</v>
      </c>
      <c r="G193" s="7" t="s">
        <v>26</v>
      </c>
      <c r="H193" s="7">
        <v>239</v>
      </c>
      <c r="I193" s="11">
        <v>0.59</v>
      </c>
    </row>
    <row r="194" spans="1:9">
      <c r="A194" s="7" t="s">
        <v>269</v>
      </c>
      <c r="B194" s="7">
        <v>4282</v>
      </c>
      <c r="C194" s="7" t="str">
        <f t="shared" si="8"/>
        <v>070483000</v>
      </c>
      <c r="D194" s="7" t="s">
        <v>272</v>
      </c>
      <c r="E194" s="7">
        <v>5398</v>
      </c>
      <c r="F194" s="7" t="str">
        <f>"070483101"</f>
        <v>070483101</v>
      </c>
      <c r="G194" s="7" t="s">
        <v>26</v>
      </c>
      <c r="H194" s="7">
        <v>722</v>
      </c>
      <c r="I194" s="11">
        <v>0.61</v>
      </c>
    </row>
    <row r="195" spans="1:9">
      <c r="A195" s="7" t="s">
        <v>269</v>
      </c>
      <c r="B195" s="7">
        <v>4282</v>
      </c>
      <c r="C195" s="7" t="str">
        <f t="shared" si="8"/>
        <v>070483000</v>
      </c>
      <c r="D195" s="7" t="s">
        <v>273</v>
      </c>
      <c r="E195" s="7">
        <v>5405</v>
      </c>
      <c r="F195" s="7" t="str">
        <f>"070483108"</f>
        <v>070483108</v>
      </c>
      <c r="G195" s="7" t="s">
        <v>26</v>
      </c>
      <c r="H195" s="7">
        <v>888</v>
      </c>
      <c r="I195" s="11">
        <v>0.84</v>
      </c>
    </row>
    <row r="196" spans="1:9" ht="28.5">
      <c r="A196" s="7" t="s">
        <v>269</v>
      </c>
      <c r="B196" s="7">
        <v>4282</v>
      </c>
      <c r="C196" s="7" t="str">
        <f t="shared" si="8"/>
        <v>070483000</v>
      </c>
      <c r="D196" s="7" t="s">
        <v>274</v>
      </c>
      <c r="E196" s="7">
        <v>5406</v>
      </c>
      <c r="F196" s="7" t="str">
        <f>"070483109"</f>
        <v>070483109</v>
      </c>
      <c r="G196" s="7" t="s">
        <v>26</v>
      </c>
      <c r="H196" s="7">
        <v>530</v>
      </c>
      <c r="I196" s="11">
        <v>0.72</v>
      </c>
    </row>
    <row r="197" spans="1:9" ht="28.5">
      <c r="A197" s="7" t="s">
        <v>269</v>
      </c>
      <c r="B197" s="7">
        <v>4282</v>
      </c>
      <c r="C197" s="7" t="str">
        <f t="shared" si="8"/>
        <v>070483000</v>
      </c>
      <c r="D197" s="7" t="s">
        <v>275</v>
      </c>
      <c r="E197" s="7">
        <v>5411</v>
      </c>
      <c r="F197" s="7" t="str">
        <f>"070483114"</f>
        <v>070483114</v>
      </c>
      <c r="G197" s="7" t="s">
        <v>26</v>
      </c>
      <c r="H197" s="7">
        <v>693</v>
      </c>
      <c r="I197" s="11">
        <v>0.61</v>
      </c>
    </row>
    <row r="198" spans="1:9">
      <c r="A198" s="7" t="s">
        <v>269</v>
      </c>
      <c r="B198" s="7">
        <v>4282</v>
      </c>
      <c r="C198" s="7" t="str">
        <f t="shared" si="8"/>
        <v>070483000</v>
      </c>
      <c r="D198" s="7" t="s">
        <v>276</v>
      </c>
      <c r="E198" s="7">
        <v>5407</v>
      </c>
      <c r="F198" s="7" t="str">
        <f>"070483110"</f>
        <v>070483110</v>
      </c>
      <c r="G198" s="7" t="s">
        <v>26</v>
      </c>
      <c r="H198" s="7">
        <v>1022</v>
      </c>
      <c r="I198" s="11">
        <v>0.56000000000000005</v>
      </c>
    </row>
    <row r="199" spans="1:9">
      <c r="A199" s="7" t="s">
        <v>269</v>
      </c>
      <c r="B199" s="7">
        <v>4282</v>
      </c>
      <c r="C199" s="7" t="str">
        <f t="shared" si="8"/>
        <v>070483000</v>
      </c>
      <c r="D199" s="7" t="s">
        <v>277</v>
      </c>
      <c r="E199" s="7">
        <v>6032</v>
      </c>
      <c r="F199" s="7" t="str">
        <f>"070483120"</f>
        <v>070483120</v>
      </c>
      <c r="G199" s="7" t="s">
        <v>26</v>
      </c>
      <c r="H199" s="7">
        <v>700</v>
      </c>
      <c r="I199" s="11">
        <v>0.83</v>
      </c>
    </row>
    <row r="200" spans="1:9" ht="28.5">
      <c r="A200" s="7" t="s">
        <v>269</v>
      </c>
      <c r="B200" s="7">
        <v>4282</v>
      </c>
      <c r="C200" s="7" t="str">
        <f t="shared" si="8"/>
        <v>070483000</v>
      </c>
      <c r="D200" s="7" t="s">
        <v>278</v>
      </c>
      <c r="E200" s="7">
        <v>5399</v>
      </c>
      <c r="F200" s="7" t="str">
        <f>"070483102"</f>
        <v>070483102</v>
      </c>
      <c r="G200" s="7" t="s">
        <v>26</v>
      </c>
      <c r="H200" s="7">
        <v>677</v>
      </c>
      <c r="I200" s="11">
        <v>0.79</v>
      </c>
    </row>
    <row r="201" spans="1:9">
      <c r="A201" s="7" t="s">
        <v>269</v>
      </c>
      <c r="B201" s="7">
        <v>4282</v>
      </c>
      <c r="C201" s="7" t="str">
        <f t="shared" si="8"/>
        <v>070483000</v>
      </c>
      <c r="D201" s="7" t="s">
        <v>279</v>
      </c>
      <c r="E201" s="7">
        <v>5409</v>
      </c>
      <c r="F201" s="7" t="str">
        <f>"070483112"</f>
        <v>070483112</v>
      </c>
      <c r="G201" s="7" t="s">
        <v>26</v>
      </c>
      <c r="H201" s="7">
        <v>607</v>
      </c>
      <c r="I201" s="11">
        <v>0.78</v>
      </c>
    </row>
    <row r="202" spans="1:9">
      <c r="A202" s="7" t="s">
        <v>269</v>
      </c>
      <c r="B202" s="7">
        <v>4282</v>
      </c>
      <c r="C202" s="7" t="str">
        <f t="shared" si="8"/>
        <v>070483000</v>
      </c>
      <c r="D202" s="7" t="s">
        <v>280</v>
      </c>
      <c r="E202" s="7">
        <v>5402</v>
      </c>
      <c r="F202" s="7" t="str">
        <f>"070483105"</f>
        <v>070483105</v>
      </c>
      <c r="G202" s="7" t="s">
        <v>26</v>
      </c>
      <c r="H202" s="7">
        <v>584</v>
      </c>
      <c r="I202" s="11">
        <v>0.74</v>
      </c>
    </row>
    <row r="203" spans="1:9">
      <c r="A203" s="7" t="s">
        <v>269</v>
      </c>
      <c r="B203" s="7">
        <v>4282</v>
      </c>
      <c r="C203" s="7" t="str">
        <f t="shared" si="8"/>
        <v>070483000</v>
      </c>
      <c r="D203" s="7" t="s">
        <v>281</v>
      </c>
      <c r="E203" s="7">
        <v>5400</v>
      </c>
      <c r="F203" s="7" t="str">
        <f>"070483103"</f>
        <v>070483103</v>
      </c>
      <c r="G203" s="7" t="s">
        <v>26</v>
      </c>
      <c r="H203" s="7">
        <v>629</v>
      </c>
      <c r="I203" s="11">
        <v>0.77</v>
      </c>
    </row>
    <row r="204" spans="1:9">
      <c r="A204" s="7" t="s">
        <v>269</v>
      </c>
      <c r="B204" s="7">
        <v>4282</v>
      </c>
      <c r="C204" s="7" t="str">
        <f t="shared" si="8"/>
        <v>070483000</v>
      </c>
      <c r="D204" s="7" t="s">
        <v>282</v>
      </c>
      <c r="E204" s="7">
        <v>5401</v>
      </c>
      <c r="F204" s="7" t="str">
        <f>"070483104"</f>
        <v>070483104</v>
      </c>
      <c r="G204" s="7" t="s">
        <v>26</v>
      </c>
      <c r="H204" s="7">
        <v>624</v>
      </c>
      <c r="I204" s="11">
        <v>0.78</v>
      </c>
    </row>
    <row r="205" spans="1:9">
      <c r="A205" s="7" t="s">
        <v>269</v>
      </c>
      <c r="B205" s="7">
        <v>4282</v>
      </c>
      <c r="C205" s="7" t="str">
        <f t="shared" si="8"/>
        <v>070483000</v>
      </c>
      <c r="D205" s="7" t="s">
        <v>283</v>
      </c>
      <c r="E205" s="7">
        <v>81109</v>
      </c>
      <c r="F205" s="7" t="str">
        <f>"070483123"</f>
        <v>070483123</v>
      </c>
      <c r="G205" s="7" t="s">
        <v>26</v>
      </c>
      <c r="H205" s="7">
        <v>740</v>
      </c>
      <c r="I205" s="11">
        <v>0.68</v>
      </c>
    </row>
    <row r="206" spans="1:9" ht="28.5">
      <c r="A206" s="7" t="s">
        <v>269</v>
      </c>
      <c r="B206" s="7">
        <v>4282</v>
      </c>
      <c r="C206" s="7" t="str">
        <f t="shared" si="8"/>
        <v>070483000</v>
      </c>
      <c r="D206" s="7" t="s">
        <v>284</v>
      </c>
      <c r="E206" s="7">
        <v>78980</v>
      </c>
      <c r="F206" s="7" t="str">
        <f>"070483121"</f>
        <v>070483121</v>
      </c>
      <c r="G206" s="7" t="s">
        <v>26</v>
      </c>
      <c r="H206" s="7">
        <v>193</v>
      </c>
      <c r="I206" s="11">
        <v>0.77</v>
      </c>
    </row>
    <row r="207" spans="1:9">
      <c r="A207" s="7" t="s">
        <v>269</v>
      </c>
      <c r="B207" s="7">
        <v>4282</v>
      </c>
      <c r="C207" s="7" t="str">
        <f t="shared" si="8"/>
        <v>070483000</v>
      </c>
      <c r="D207" s="7" t="s">
        <v>285</v>
      </c>
      <c r="E207" s="7">
        <v>5412</v>
      </c>
      <c r="F207" s="7" t="str">
        <f>"070483115"</f>
        <v>070483115</v>
      </c>
      <c r="G207" s="7" t="s">
        <v>26</v>
      </c>
      <c r="H207" s="7">
        <v>666</v>
      </c>
      <c r="I207" s="11">
        <v>0.78</v>
      </c>
    </row>
    <row r="208" spans="1:9">
      <c r="A208" s="7" t="s">
        <v>269</v>
      </c>
      <c r="B208" s="7">
        <v>4282</v>
      </c>
      <c r="C208" s="7" t="str">
        <f t="shared" si="8"/>
        <v>070483000</v>
      </c>
      <c r="D208" s="7" t="s">
        <v>286</v>
      </c>
      <c r="E208" s="7">
        <v>5413</v>
      </c>
      <c r="F208" s="7" t="str">
        <f>"070483116"</f>
        <v>070483116</v>
      </c>
      <c r="G208" s="7" t="s">
        <v>26</v>
      </c>
      <c r="H208" s="7">
        <v>885</v>
      </c>
      <c r="I208" s="11">
        <v>0.78</v>
      </c>
    </row>
    <row r="209" spans="1:9" ht="28.5">
      <c r="A209" s="7" t="s">
        <v>269</v>
      </c>
      <c r="B209" s="7">
        <v>4282</v>
      </c>
      <c r="C209" s="7" t="str">
        <f t="shared" si="8"/>
        <v>070483000</v>
      </c>
      <c r="D209" s="7" t="s">
        <v>287</v>
      </c>
      <c r="E209" s="7">
        <v>89955</v>
      </c>
      <c r="F209" s="7" t="str">
        <f>"070483129"</f>
        <v>070483129</v>
      </c>
      <c r="G209" s="7" t="s">
        <v>26</v>
      </c>
      <c r="H209" s="7">
        <v>545</v>
      </c>
      <c r="I209" s="11">
        <v>0.77</v>
      </c>
    </row>
    <row r="210" spans="1:9" ht="28.5">
      <c r="A210" s="7" t="s">
        <v>269</v>
      </c>
      <c r="B210" s="7">
        <v>4282</v>
      </c>
      <c r="C210" s="7" t="str">
        <f t="shared" si="8"/>
        <v>070483000</v>
      </c>
      <c r="D210" s="7" t="s">
        <v>288</v>
      </c>
      <c r="E210" s="7">
        <v>5404</v>
      </c>
      <c r="F210" s="7" t="str">
        <f>"070483107"</f>
        <v>070483107</v>
      </c>
      <c r="G210" s="7" t="s">
        <v>26</v>
      </c>
      <c r="H210" s="7">
        <v>718</v>
      </c>
      <c r="I210" s="11">
        <v>0.67</v>
      </c>
    </row>
    <row r="211" spans="1:9">
      <c r="A211" s="7" t="s">
        <v>269</v>
      </c>
      <c r="B211" s="7">
        <v>4282</v>
      </c>
      <c r="C211" s="7" t="str">
        <f t="shared" si="8"/>
        <v>070483000</v>
      </c>
      <c r="D211" s="7" t="s">
        <v>289</v>
      </c>
      <c r="E211" s="7">
        <v>5403</v>
      </c>
      <c r="F211" s="7" t="str">
        <f>"070483106"</f>
        <v>070483106</v>
      </c>
      <c r="G211" s="7" t="s">
        <v>26</v>
      </c>
      <c r="H211" s="7">
        <v>738</v>
      </c>
      <c r="I211" s="11">
        <v>0.7</v>
      </c>
    </row>
    <row r="212" spans="1:9">
      <c r="A212" s="7" t="s">
        <v>269</v>
      </c>
      <c r="B212" s="7">
        <v>4282</v>
      </c>
      <c r="C212" s="7" t="str">
        <f t="shared" si="8"/>
        <v>070483000</v>
      </c>
      <c r="D212" s="7" t="s">
        <v>290</v>
      </c>
      <c r="E212" s="7">
        <v>5415</v>
      </c>
      <c r="F212" s="7" t="str">
        <f>"070483118"</f>
        <v>070483118</v>
      </c>
      <c r="G212" s="7" t="s">
        <v>26</v>
      </c>
      <c r="H212" s="7">
        <v>814</v>
      </c>
      <c r="I212" s="11">
        <v>0.73</v>
      </c>
    </row>
    <row r="213" spans="1:9">
      <c r="A213" s="7" t="s">
        <v>291</v>
      </c>
      <c r="B213" s="7">
        <v>91934</v>
      </c>
      <c r="C213" s="7" t="str">
        <f>"078218000"</f>
        <v>078218000</v>
      </c>
      <c r="D213" s="7" t="s">
        <v>291</v>
      </c>
      <c r="E213" s="7">
        <v>92498</v>
      </c>
      <c r="F213" s="7" t="str">
        <f>"078218001"</f>
        <v>078218001</v>
      </c>
      <c r="H213" s="7">
        <v>360</v>
      </c>
      <c r="I213" s="11" t="s">
        <v>17</v>
      </c>
    </row>
    <row r="214" spans="1:9">
      <c r="A214" s="7" t="s">
        <v>292</v>
      </c>
      <c r="B214" s="7">
        <v>4446</v>
      </c>
      <c r="C214" s="7" t="str">
        <f t="shared" ref="C214:C225" si="9">"110404000"</f>
        <v>110404000</v>
      </c>
      <c r="D214" s="7" t="s">
        <v>293</v>
      </c>
      <c r="E214" s="7">
        <v>79692</v>
      </c>
      <c r="F214" s="7" t="str">
        <f>"110404110"</f>
        <v>110404110</v>
      </c>
      <c r="H214" s="7">
        <v>756</v>
      </c>
      <c r="I214" s="11">
        <v>0.71</v>
      </c>
    </row>
    <row r="215" spans="1:9" ht="28.5">
      <c r="A215" s="7" t="s">
        <v>292</v>
      </c>
      <c r="B215" s="7">
        <v>4446</v>
      </c>
      <c r="C215" s="7" t="str">
        <f t="shared" si="9"/>
        <v>110404000</v>
      </c>
      <c r="D215" s="7" t="s">
        <v>294</v>
      </c>
      <c r="E215" s="7">
        <v>5934</v>
      </c>
      <c r="F215" s="7" t="str">
        <f>"110404106"</f>
        <v>110404106</v>
      </c>
      <c r="G215" s="7" t="s">
        <v>16</v>
      </c>
      <c r="H215" s="7">
        <v>683</v>
      </c>
      <c r="I215" s="11">
        <v>0.8</v>
      </c>
    </row>
    <row r="216" spans="1:9" ht="28.5">
      <c r="A216" s="7" t="s">
        <v>292</v>
      </c>
      <c r="B216" s="7">
        <v>4446</v>
      </c>
      <c r="C216" s="7" t="str">
        <f t="shared" si="9"/>
        <v>110404000</v>
      </c>
      <c r="D216" s="7" t="s">
        <v>295</v>
      </c>
      <c r="E216" s="7">
        <v>5930</v>
      </c>
      <c r="F216" s="7" t="str">
        <f>"110404102"</f>
        <v>110404102</v>
      </c>
      <c r="G216" s="7" t="s">
        <v>16</v>
      </c>
      <c r="H216" s="7">
        <v>155</v>
      </c>
      <c r="I216" s="11">
        <v>0.61</v>
      </c>
    </row>
    <row r="217" spans="1:9" ht="28.5">
      <c r="A217" s="7" t="s">
        <v>292</v>
      </c>
      <c r="B217" s="7">
        <v>4446</v>
      </c>
      <c r="C217" s="7" t="str">
        <f t="shared" si="9"/>
        <v>110404000</v>
      </c>
      <c r="D217" s="7" t="s">
        <v>296</v>
      </c>
      <c r="E217" s="7">
        <v>5935</v>
      </c>
      <c r="F217" s="7" t="str">
        <f>"110404107"</f>
        <v>110404107</v>
      </c>
      <c r="G217" s="7" t="s">
        <v>16</v>
      </c>
      <c r="H217" s="7">
        <v>453</v>
      </c>
      <c r="I217" s="11">
        <v>0.83</v>
      </c>
    </row>
    <row r="218" spans="1:9" ht="28.5">
      <c r="A218" s="7" t="s">
        <v>292</v>
      </c>
      <c r="B218" s="7">
        <v>4446</v>
      </c>
      <c r="C218" s="7" t="str">
        <f t="shared" si="9"/>
        <v>110404000</v>
      </c>
      <c r="D218" s="7" t="s">
        <v>297</v>
      </c>
      <c r="E218" s="7">
        <v>5929</v>
      </c>
      <c r="F218" s="7" t="str">
        <f>"110404101"</f>
        <v>110404101</v>
      </c>
      <c r="G218" s="7" t="s">
        <v>16</v>
      </c>
      <c r="H218" s="7">
        <v>485</v>
      </c>
      <c r="I218" s="11">
        <v>0.96</v>
      </c>
    </row>
    <row r="219" spans="1:9">
      <c r="A219" s="7" t="s">
        <v>292</v>
      </c>
      <c r="B219" s="7">
        <v>4446</v>
      </c>
      <c r="C219" s="7" t="str">
        <f t="shared" si="9"/>
        <v>110404000</v>
      </c>
      <c r="D219" s="7" t="s">
        <v>298</v>
      </c>
      <c r="E219" s="7">
        <v>87948</v>
      </c>
      <c r="F219" s="7" t="str">
        <f>"110404130"</f>
        <v>110404130</v>
      </c>
      <c r="H219" s="7">
        <v>478</v>
      </c>
      <c r="I219" s="11">
        <v>0.67</v>
      </c>
    </row>
    <row r="220" spans="1:9">
      <c r="A220" s="7" t="s">
        <v>292</v>
      </c>
      <c r="B220" s="7">
        <v>4446</v>
      </c>
      <c r="C220" s="7" t="str">
        <f t="shared" si="9"/>
        <v>110404000</v>
      </c>
      <c r="D220" s="7" t="s">
        <v>299</v>
      </c>
      <c r="E220" s="7">
        <v>5936</v>
      </c>
      <c r="F220" s="7" t="str">
        <f>"110404108"</f>
        <v>110404108</v>
      </c>
      <c r="H220" s="7">
        <v>505</v>
      </c>
      <c r="I220" s="11">
        <v>0.76</v>
      </c>
    </row>
    <row r="221" spans="1:9" ht="28.5">
      <c r="A221" s="7" t="s">
        <v>292</v>
      </c>
      <c r="B221" s="7">
        <v>4446</v>
      </c>
      <c r="C221" s="7" t="str">
        <f t="shared" si="9"/>
        <v>110404000</v>
      </c>
      <c r="D221" s="7" t="s">
        <v>300</v>
      </c>
      <c r="E221" s="7">
        <v>89578</v>
      </c>
      <c r="F221" s="7" t="str">
        <f>"110404132"</f>
        <v>110404132</v>
      </c>
      <c r="H221" s="7">
        <v>685</v>
      </c>
      <c r="I221" s="11">
        <v>0.72</v>
      </c>
    </row>
    <row r="222" spans="1:9" ht="28.5">
      <c r="A222" s="7" t="s">
        <v>292</v>
      </c>
      <c r="B222" s="7">
        <v>4446</v>
      </c>
      <c r="C222" s="7" t="str">
        <f t="shared" si="9"/>
        <v>110404000</v>
      </c>
      <c r="D222" s="7" t="s">
        <v>301</v>
      </c>
      <c r="E222" s="7">
        <v>5937</v>
      </c>
      <c r="F222" s="7" t="str">
        <f>"110404109"</f>
        <v>110404109</v>
      </c>
      <c r="G222" s="7" t="s">
        <v>16</v>
      </c>
      <c r="H222" s="7">
        <v>456</v>
      </c>
      <c r="I222" s="11">
        <v>0.81</v>
      </c>
    </row>
    <row r="223" spans="1:9" ht="28.5">
      <c r="A223" s="7" t="s">
        <v>292</v>
      </c>
      <c r="B223" s="7">
        <v>4446</v>
      </c>
      <c r="C223" s="7" t="str">
        <f t="shared" si="9"/>
        <v>110404000</v>
      </c>
      <c r="D223" s="7" t="s">
        <v>302</v>
      </c>
      <c r="E223" s="7">
        <v>5932</v>
      </c>
      <c r="F223" s="7" t="str">
        <f>"110404104"</f>
        <v>110404104</v>
      </c>
      <c r="G223" s="7" t="s">
        <v>16</v>
      </c>
      <c r="H223" s="7">
        <v>565</v>
      </c>
      <c r="I223" s="11">
        <v>0.96</v>
      </c>
    </row>
    <row r="224" spans="1:9" ht="28.5">
      <c r="A224" s="7" t="s">
        <v>292</v>
      </c>
      <c r="B224" s="7">
        <v>4446</v>
      </c>
      <c r="C224" s="7" t="str">
        <f t="shared" si="9"/>
        <v>110404000</v>
      </c>
      <c r="D224" s="7" t="s">
        <v>303</v>
      </c>
      <c r="E224" s="7">
        <v>5933</v>
      </c>
      <c r="F224" s="7" t="str">
        <f>"110404105"</f>
        <v>110404105</v>
      </c>
      <c r="G224" s="7" t="s">
        <v>16</v>
      </c>
      <c r="H224" s="7">
        <v>493</v>
      </c>
      <c r="I224" s="11">
        <v>0.91</v>
      </c>
    </row>
    <row r="225" spans="1:9">
      <c r="A225" s="7" t="s">
        <v>292</v>
      </c>
      <c r="B225" s="7">
        <v>4446</v>
      </c>
      <c r="C225" s="7" t="str">
        <f t="shared" si="9"/>
        <v>110404000</v>
      </c>
      <c r="D225" s="7" t="s">
        <v>304</v>
      </c>
      <c r="E225" s="7">
        <v>89579</v>
      </c>
      <c r="F225" s="7" t="str">
        <f>"110404131"</f>
        <v>110404131</v>
      </c>
      <c r="H225" s="7">
        <v>749</v>
      </c>
      <c r="I225" s="11">
        <v>0.65</v>
      </c>
    </row>
    <row r="226" spans="1:9">
      <c r="A226" s="7" t="s">
        <v>305</v>
      </c>
      <c r="B226" s="7">
        <v>4453</v>
      </c>
      <c r="C226" s="7" t="str">
        <f>"110502000"</f>
        <v>110502000</v>
      </c>
      <c r="D226" s="7" t="s">
        <v>306</v>
      </c>
      <c r="E226" s="7">
        <v>5948</v>
      </c>
      <c r="F226" s="7" t="str">
        <f>"110502001"</f>
        <v>110502001</v>
      </c>
      <c r="H226" s="7">
        <v>2030</v>
      </c>
      <c r="I226" s="11">
        <v>0.66</v>
      </c>
    </row>
    <row r="227" spans="1:9">
      <c r="A227" s="7" t="s">
        <v>305</v>
      </c>
      <c r="B227" s="7">
        <v>4453</v>
      </c>
      <c r="C227" s="7" t="str">
        <f>"110502000"</f>
        <v>110502000</v>
      </c>
      <c r="D227" s="7" t="s">
        <v>307</v>
      </c>
      <c r="E227" s="7">
        <v>1002022</v>
      </c>
      <c r="F227" s="7" t="str">
        <f>"110502007"</f>
        <v>110502007</v>
      </c>
      <c r="H227" s="7">
        <v>59</v>
      </c>
      <c r="I227" s="11">
        <v>0.71</v>
      </c>
    </row>
    <row r="228" spans="1:9">
      <c r="A228" s="7" t="s">
        <v>305</v>
      </c>
      <c r="B228" s="7">
        <v>4453</v>
      </c>
      <c r="C228" s="7" t="str">
        <f>"110502000"</f>
        <v>110502000</v>
      </c>
      <c r="D228" s="7" t="s">
        <v>308</v>
      </c>
      <c r="E228" s="7">
        <v>90084</v>
      </c>
      <c r="F228" s="7" t="str">
        <f>"110502004"</f>
        <v>110502004</v>
      </c>
      <c r="H228" s="7">
        <v>1970</v>
      </c>
      <c r="I228" s="11">
        <v>0.67</v>
      </c>
    </row>
    <row r="229" spans="1:9">
      <c r="A229" s="7" t="s">
        <v>309</v>
      </c>
      <c r="B229" s="7">
        <v>4410</v>
      </c>
      <c r="C229" s="7" t="str">
        <f t="shared" ref="C229:C235" si="10">"100216000"</f>
        <v>100216000</v>
      </c>
      <c r="D229" s="7" t="s">
        <v>310</v>
      </c>
      <c r="E229" s="7">
        <v>5835</v>
      </c>
      <c r="F229" s="7" t="str">
        <f>"100216104"</f>
        <v>100216104</v>
      </c>
      <c r="H229" s="7">
        <v>388</v>
      </c>
      <c r="I229" s="11">
        <v>0.2</v>
      </c>
    </row>
    <row r="230" spans="1:9">
      <c r="A230" s="7" t="s">
        <v>309</v>
      </c>
      <c r="B230" s="7">
        <v>4410</v>
      </c>
      <c r="C230" s="7" t="str">
        <f t="shared" si="10"/>
        <v>100216000</v>
      </c>
      <c r="D230" s="7" t="s">
        <v>311</v>
      </c>
      <c r="E230" s="7">
        <v>5839</v>
      </c>
      <c r="F230" s="7" t="str">
        <f>"100216206"</f>
        <v>100216206</v>
      </c>
      <c r="H230" s="7">
        <v>1869</v>
      </c>
      <c r="I230" s="11">
        <v>0.18</v>
      </c>
    </row>
    <row r="231" spans="1:9">
      <c r="A231" s="7" t="s">
        <v>309</v>
      </c>
      <c r="B231" s="7">
        <v>4410</v>
      </c>
      <c r="C231" s="7" t="str">
        <f t="shared" si="10"/>
        <v>100216000</v>
      </c>
      <c r="D231" s="7" t="s">
        <v>312</v>
      </c>
      <c r="E231" s="7">
        <v>5837</v>
      </c>
      <c r="F231" s="7" t="str">
        <f>"100216107"</f>
        <v>100216107</v>
      </c>
      <c r="H231" s="7">
        <v>516</v>
      </c>
      <c r="I231" s="11">
        <v>0.16</v>
      </c>
    </row>
    <row r="232" spans="1:9">
      <c r="A232" s="7" t="s">
        <v>309</v>
      </c>
      <c r="B232" s="7">
        <v>4410</v>
      </c>
      <c r="C232" s="7" t="str">
        <f t="shared" si="10"/>
        <v>100216000</v>
      </c>
      <c r="D232" s="7" t="s">
        <v>313</v>
      </c>
      <c r="E232" s="7">
        <v>5833</v>
      </c>
      <c r="F232" s="7" t="str">
        <f>"100216102"</f>
        <v>100216102</v>
      </c>
      <c r="H232" s="7">
        <v>584</v>
      </c>
      <c r="I232" s="11">
        <v>0.13</v>
      </c>
    </row>
    <row r="233" spans="1:9">
      <c r="A233" s="7" t="s">
        <v>309</v>
      </c>
      <c r="B233" s="7">
        <v>4410</v>
      </c>
      <c r="C233" s="7" t="str">
        <f t="shared" si="10"/>
        <v>100216000</v>
      </c>
      <c r="D233" s="7" t="s">
        <v>314</v>
      </c>
      <c r="E233" s="7">
        <v>5834</v>
      </c>
      <c r="F233" s="7" t="str">
        <f>"100216103"</f>
        <v>100216103</v>
      </c>
      <c r="H233" s="7">
        <v>671</v>
      </c>
      <c r="I233" s="11">
        <v>0.11</v>
      </c>
    </row>
    <row r="234" spans="1:9">
      <c r="A234" s="7" t="s">
        <v>309</v>
      </c>
      <c r="B234" s="7">
        <v>4410</v>
      </c>
      <c r="C234" s="7" t="str">
        <f t="shared" si="10"/>
        <v>100216000</v>
      </c>
      <c r="D234" s="7" t="s">
        <v>315</v>
      </c>
      <c r="E234" s="7">
        <v>5832</v>
      </c>
      <c r="F234" s="7" t="str">
        <f>"100216101"</f>
        <v>100216101</v>
      </c>
      <c r="H234" s="7">
        <v>495</v>
      </c>
      <c r="I234" s="11">
        <v>0.19</v>
      </c>
    </row>
    <row r="235" spans="1:9">
      <c r="A235" s="7" t="s">
        <v>309</v>
      </c>
      <c r="B235" s="7">
        <v>4410</v>
      </c>
      <c r="C235" s="7" t="str">
        <f t="shared" si="10"/>
        <v>100216000</v>
      </c>
      <c r="D235" s="7" t="s">
        <v>316</v>
      </c>
      <c r="E235" s="7">
        <v>5838</v>
      </c>
      <c r="F235" s="7" t="str">
        <f>"100216108"</f>
        <v>100216108</v>
      </c>
      <c r="H235" s="7">
        <v>440</v>
      </c>
      <c r="I235" s="11">
        <v>0.14000000000000001</v>
      </c>
    </row>
    <row r="236" spans="1:9">
      <c r="A236" s="7" t="s">
        <v>317</v>
      </c>
      <c r="B236" s="7">
        <v>4244</v>
      </c>
      <c r="C236" s="7" t="str">
        <f t="shared" ref="C236:C242" si="11">"070293000"</f>
        <v>070293000</v>
      </c>
      <c r="D236" s="7" t="s">
        <v>318</v>
      </c>
      <c r="E236" s="7">
        <v>5134</v>
      </c>
      <c r="F236" s="7" t="str">
        <f>"070293102"</f>
        <v>070293102</v>
      </c>
      <c r="H236" s="7">
        <v>540</v>
      </c>
      <c r="I236" s="11">
        <v>0.61</v>
      </c>
    </row>
    <row r="237" spans="1:9">
      <c r="A237" s="7" t="s">
        <v>317</v>
      </c>
      <c r="B237" s="7">
        <v>4244</v>
      </c>
      <c r="C237" s="7" t="str">
        <f t="shared" si="11"/>
        <v>070293000</v>
      </c>
      <c r="D237" s="7" t="s">
        <v>319</v>
      </c>
      <c r="E237" s="7">
        <v>5137</v>
      </c>
      <c r="F237" s="7" t="str">
        <f>"070293204"</f>
        <v>070293204</v>
      </c>
      <c r="H237" s="7">
        <v>1579</v>
      </c>
      <c r="I237" s="11">
        <v>0.11</v>
      </c>
    </row>
    <row r="238" spans="1:9">
      <c r="A238" s="7" t="s">
        <v>317</v>
      </c>
      <c r="B238" s="7">
        <v>4244</v>
      </c>
      <c r="C238" s="7" t="str">
        <f t="shared" si="11"/>
        <v>070293000</v>
      </c>
      <c r="D238" s="7" t="s">
        <v>320</v>
      </c>
      <c r="E238" s="7">
        <v>5136</v>
      </c>
      <c r="F238" s="7" t="str">
        <f>"070293106"</f>
        <v>070293106</v>
      </c>
      <c r="H238" s="7">
        <v>263</v>
      </c>
      <c r="I238" s="11">
        <v>0.24</v>
      </c>
    </row>
    <row r="239" spans="1:9">
      <c r="A239" s="7" t="s">
        <v>317</v>
      </c>
      <c r="B239" s="7">
        <v>4244</v>
      </c>
      <c r="C239" s="7" t="str">
        <f t="shared" si="11"/>
        <v>070293000</v>
      </c>
      <c r="D239" s="7" t="s">
        <v>298</v>
      </c>
      <c r="E239" s="7">
        <v>78912</v>
      </c>
      <c r="F239" s="7" t="str">
        <f>"070293105"</f>
        <v>070293105</v>
      </c>
      <c r="H239" s="7">
        <v>440</v>
      </c>
      <c r="I239" s="11">
        <v>0.1</v>
      </c>
    </row>
    <row r="240" spans="1:9" ht="28.5">
      <c r="A240" s="7" t="s">
        <v>317</v>
      </c>
      <c r="B240" s="7">
        <v>4244</v>
      </c>
      <c r="C240" s="7" t="str">
        <f t="shared" si="11"/>
        <v>070293000</v>
      </c>
      <c r="D240" s="7" t="s">
        <v>321</v>
      </c>
      <c r="E240" s="7">
        <v>87477</v>
      </c>
      <c r="F240" s="7" t="str">
        <f>"070293108"</f>
        <v>070293108</v>
      </c>
      <c r="H240" s="7">
        <v>460</v>
      </c>
      <c r="I240" s="11">
        <v>0.12</v>
      </c>
    </row>
    <row r="241" spans="1:9">
      <c r="A241" s="7" t="s">
        <v>317</v>
      </c>
      <c r="B241" s="7">
        <v>4244</v>
      </c>
      <c r="C241" s="7" t="str">
        <f t="shared" si="11"/>
        <v>070293000</v>
      </c>
      <c r="D241" s="7" t="s">
        <v>322</v>
      </c>
      <c r="E241" s="7">
        <v>80056</v>
      </c>
      <c r="F241" s="7" t="str">
        <f>"070293107"</f>
        <v>070293107</v>
      </c>
      <c r="H241" s="7">
        <v>482</v>
      </c>
      <c r="I241" s="11">
        <v>0.1</v>
      </c>
    </row>
    <row r="242" spans="1:9">
      <c r="A242" s="7" t="s">
        <v>317</v>
      </c>
      <c r="B242" s="7">
        <v>4244</v>
      </c>
      <c r="C242" s="7" t="str">
        <f t="shared" si="11"/>
        <v>070293000</v>
      </c>
      <c r="D242" s="7" t="s">
        <v>323</v>
      </c>
      <c r="E242" s="7">
        <v>78911</v>
      </c>
      <c r="F242" s="7" t="str">
        <f>"070293101"</f>
        <v>070293101</v>
      </c>
      <c r="H242" s="7">
        <v>643</v>
      </c>
      <c r="I242" s="11">
        <v>0.12</v>
      </c>
    </row>
    <row r="243" spans="1:9" ht="28.5">
      <c r="A243" s="7" t="s">
        <v>324</v>
      </c>
      <c r="B243" s="7">
        <v>4395</v>
      </c>
      <c r="C243" s="7" t="str">
        <f>"090225000"</f>
        <v>090225000</v>
      </c>
      <c r="D243" s="7" t="s">
        <v>325</v>
      </c>
      <c r="E243" s="7">
        <v>5638</v>
      </c>
      <c r="F243" s="7" t="str">
        <f>"090225001"</f>
        <v>090225001</v>
      </c>
      <c r="G243" s="7" t="s">
        <v>16</v>
      </c>
      <c r="H243" s="7">
        <v>129</v>
      </c>
      <c r="I243" s="11" t="s">
        <v>17</v>
      </c>
    </row>
    <row r="244" spans="1:9" ht="28.5">
      <c r="A244" s="7" t="s">
        <v>326</v>
      </c>
      <c r="B244" s="7">
        <v>4191</v>
      </c>
      <c r="C244" s="7" t="str">
        <f>"028750000"</f>
        <v>028750000</v>
      </c>
      <c r="D244" s="7" t="s">
        <v>327</v>
      </c>
      <c r="E244" s="7">
        <v>4801</v>
      </c>
      <c r="F244" s="7" t="str">
        <f>"028750201"</f>
        <v>028750201</v>
      </c>
      <c r="G244" s="7" t="s">
        <v>16</v>
      </c>
      <c r="H244" s="7">
        <v>138</v>
      </c>
      <c r="I244" s="11">
        <v>0.56000000000000005</v>
      </c>
    </row>
    <row r="245" spans="1:9" ht="28.5">
      <c r="A245" s="7" t="s">
        <v>326</v>
      </c>
      <c r="B245" s="7">
        <v>4191</v>
      </c>
      <c r="C245" s="7" t="str">
        <f>"028750000"</f>
        <v>028750000</v>
      </c>
      <c r="D245" s="7" t="s">
        <v>328</v>
      </c>
      <c r="E245" s="7">
        <v>4802</v>
      </c>
      <c r="F245" s="7" t="str">
        <f>"028750202"</f>
        <v>028750202</v>
      </c>
      <c r="G245" s="7" t="s">
        <v>16</v>
      </c>
      <c r="H245" s="7">
        <v>166</v>
      </c>
      <c r="I245" s="11" t="s">
        <v>17</v>
      </c>
    </row>
    <row r="246" spans="1:9" ht="28.5">
      <c r="A246" s="7" t="s">
        <v>326</v>
      </c>
      <c r="B246" s="7">
        <v>4191</v>
      </c>
      <c r="C246" s="7" t="str">
        <f>"028750000"</f>
        <v>028750000</v>
      </c>
      <c r="D246" s="7" t="s">
        <v>329</v>
      </c>
      <c r="E246" s="7">
        <v>79039</v>
      </c>
      <c r="F246" s="7" t="str">
        <f>"028750203"</f>
        <v>028750203</v>
      </c>
      <c r="G246" s="7" t="s">
        <v>16</v>
      </c>
      <c r="H246" s="7">
        <v>251</v>
      </c>
      <c r="I246" s="11" t="s">
        <v>17</v>
      </c>
    </row>
    <row r="247" spans="1:9" ht="28.5">
      <c r="A247" s="7" t="s">
        <v>326</v>
      </c>
      <c r="B247" s="7">
        <v>4191</v>
      </c>
      <c r="C247" s="7" t="str">
        <f>"028750000"</f>
        <v>028750000</v>
      </c>
      <c r="D247" s="7" t="s">
        <v>330</v>
      </c>
      <c r="E247" s="7">
        <v>85876</v>
      </c>
      <c r="F247" s="7" t="str">
        <f>"028750204"</f>
        <v>028750204</v>
      </c>
      <c r="G247" s="7" t="s">
        <v>16</v>
      </c>
      <c r="H247" s="7">
        <v>209</v>
      </c>
      <c r="I247" s="11" t="s">
        <v>17</v>
      </c>
    </row>
    <row r="248" spans="1:9" ht="28.5">
      <c r="A248" s="7" t="s">
        <v>326</v>
      </c>
      <c r="B248" s="7">
        <v>4191</v>
      </c>
      <c r="C248" s="7" t="str">
        <f>"028750000"</f>
        <v>028750000</v>
      </c>
      <c r="D248" s="7" t="s">
        <v>331</v>
      </c>
      <c r="E248" s="7">
        <v>85877</v>
      </c>
      <c r="F248" s="7" t="str">
        <f>"028750205"</f>
        <v>028750205</v>
      </c>
      <c r="G248" s="7" t="s">
        <v>16</v>
      </c>
      <c r="H248" s="7">
        <v>372</v>
      </c>
      <c r="I248" s="11">
        <v>0.54</v>
      </c>
    </row>
    <row r="249" spans="1:9">
      <c r="A249" s="7" t="s">
        <v>332</v>
      </c>
      <c r="B249" s="7">
        <v>6362</v>
      </c>
      <c r="C249" s="7" t="str">
        <f>"078772000"</f>
        <v>078772000</v>
      </c>
      <c r="D249" s="7" t="s">
        <v>333</v>
      </c>
      <c r="E249" s="7">
        <v>5555</v>
      </c>
      <c r="F249" s="7" t="str">
        <f>"078772001"</f>
        <v>078772001</v>
      </c>
      <c r="H249" s="7">
        <v>394</v>
      </c>
      <c r="I249" s="11">
        <v>0.35</v>
      </c>
    </row>
    <row r="250" spans="1:9" ht="28.5">
      <c r="A250" s="7" t="s">
        <v>334</v>
      </c>
      <c r="B250" s="7">
        <v>4242</v>
      </c>
      <c r="C250" s="7" t="str">
        <f t="shared" ref="C250:C293" si="12">"070280000"</f>
        <v>070280000</v>
      </c>
      <c r="D250" s="7" t="s">
        <v>335</v>
      </c>
      <c r="E250" s="7">
        <v>5117</v>
      </c>
      <c r="F250" s="7" t="str">
        <f>"070280112"</f>
        <v>070280112</v>
      </c>
      <c r="H250" s="7">
        <v>638</v>
      </c>
      <c r="I250" s="11">
        <v>0.3</v>
      </c>
    </row>
    <row r="251" spans="1:9">
      <c r="A251" s="7" t="s">
        <v>334</v>
      </c>
      <c r="B251" s="7">
        <v>4242</v>
      </c>
      <c r="C251" s="7" t="str">
        <f t="shared" si="12"/>
        <v>070280000</v>
      </c>
      <c r="D251" s="7" t="s">
        <v>336</v>
      </c>
      <c r="E251" s="7">
        <v>89591</v>
      </c>
      <c r="F251" s="7" t="str">
        <f>"070280243"</f>
        <v>070280243</v>
      </c>
      <c r="H251" s="7">
        <v>2037</v>
      </c>
      <c r="I251" s="11">
        <v>0.09</v>
      </c>
    </row>
    <row r="252" spans="1:9">
      <c r="A252" s="7" t="s">
        <v>334</v>
      </c>
      <c r="B252" s="7">
        <v>4242</v>
      </c>
      <c r="C252" s="7" t="str">
        <f t="shared" si="12"/>
        <v>070280000</v>
      </c>
      <c r="D252" s="7" t="s">
        <v>337</v>
      </c>
      <c r="E252" s="7">
        <v>90302</v>
      </c>
      <c r="F252" s="7" t="str">
        <f>"070280145"</f>
        <v>070280145</v>
      </c>
      <c r="H252" s="7">
        <v>753</v>
      </c>
      <c r="I252" s="11">
        <v>0.05</v>
      </c>
    </row>
    <row r="253" spans="1:9" ht="28.5">
      <c r="A253" s="7" t="s">
        <v>334</v>
      </c>
      <c r="B253" s="7">
        <v>4242</v>
      </c>
      <c r="C253" s="7" t="str">
        <f t="shared" si="12"/>
        <v>070280000</v>
      </c>
      <c r="D253" s="7" t="s">
        <v>338</v>
      </c>
      <c r="E253" s="7">
        <v>85838</v>
      </c>
      <c r="F253" s="7" t="str">
        <f>"070280135"</f>
        <v>070280135</v>
      </c>
      <c r="H253" s="7">
        <v>579</v>
      </c>
      <c r="I253" s="11">
        <v>0.14000000000000001</v>
      </c>
    </row>
    <row r="254" spans="1:9">
      <c r="A254" s="7" t="s">
        <v>334</v>
      </c>
      <c r="B254" s="7">
        <v>4242</v>
      </c>
      <c r="C254" s="7" t="str">
        <f t="shared" si="12"/>
        <v>070280000</v>
      </c>
      <c r="D254" s="7" t="s">
        <v>339</v>
      </c>
      <c r="E254" s="7">
        <v>79247</v>
      </c>
      <c r="F254" s="7" t="str">
        <f>"070280129"</f>
        <v>070280129</v>
      </c>
      <c r="H254" s="7">
        <v>623</v>
      </c>
      <c r="I254" s="11">
        <v>0.34</v>
      </c>
    </row>
    <row r="255" spans="1:9">
      <c r="A255" s="7" t="s">
        <v>334</v>
      </c>
      <c r="B255" s="7">
        <v>4242</v>
      </c>
      <c r="C255" s="7" t="str">
        <f t="shared" si="12"/>
        <v>070280000</v>
      </c>
      <c r="D255" s="7" t="s">
        <v>340</v>
      </c>
      <c r="E255" s="7">
        <v>79633</v>
      </c>
      <c r="F255" s="7" t="str">
        <f>"070280203"</f>
        <v>070280203</v>
      </c>
      <c r="H255" s="7">
        <v>2910</v>
      </c>
      <c r="I255" s="11">
        <v>0.13</v>
      </c>
    </row>
    <row r="256" spans="1:9">
      <c r="A256" s="7" t="s">
        <v>334</v>
      </c>
      <c r="B256" s="7">
        <v>4242</v>
      </c>
      <c r="C256" s="7" t="str">
        <f t="shared" si="12"/>
        <v>070280000</v>
      </c>
      <c r="D256" s="7" t="s">
        <v>341</v>
      </c>
      <c r="E256" s="7">
        <v>5125</v>
      </c>
      <c r="F256" s="7" t="str">
        <f>"070280120"</f>
        <v>070280120</v>
      </c>
      <c r="H256" s="7">
        <v>1079</v>
      </c>
      <c r="I256" s="11">
        <v>0.34</v>
      </c>
    </row>
    <row r="257" spans="1:9">
      <c r="A257" s="7" t="s">
        <v>334</v>
      </c>
      <c r="B257" s="7">
        <v>4242</v>
      </c>
      <c r="C257" s="7" t="str">
        <f t="shared" si="12"/>
        <v>070280000</v>
      </c>
      <c r="D257" s="7" t="s">
        <v>342</v>
      </c>
      <c r="E257" s="7">
        <v>5127</v>
      </c>
      <c r="F257" s="7" t="str">
        <f>"070280202"</f>
        <v>070280202</v>
      </c>
      <c r="H257" s="7">
        <v>3447</v>
      </c>
      <c r="I257" s="11">
        <v>0.56000000000000005</v>
      </c>
    </row>
    <row r="258" spans="1:9" ht="28.5">
      <c r="A258" s="7" t="s">
        <v>334</v>
      </c>
      <c r="B258" s="7">
        <v>4242</v>
      </c>
      <c r="C258" s="7" t="str">
        <f t="shared" si="12"/>
        <v>070280000</v>
      </c>
      <c r="D258" s="7" t="s">
        <v>343</v>
      </c>
      <c r="E258" s="7">
        <v>5119</v>
      </c>
      <c r="F258" s="7" t="str">
        <f>"070280114"</f>
        <v>070280114</v>
      </c>
      <c r="H258" s="7">
        <v>596</v>
      </c>
      <c r="I258" s="11">
        <v>0.28000000000000003</v>
      </c>
    </row>
    <row r="259" spans="1:9" ht="28.5">
      <c r="A259" s="7" t="s">
        <v>334</v>
      </c>
      <c r="B259" s="7">
        <v>4242</v>
      </c>
      <c r="C259" s="7" t="str">
        <f t="shared" si="12"/>
        <v>070280000</v>
      </c>
      <c r="D259" s="7" t="s">
        <v>344</v>
      </c>
      <c r="E259" s="7">
        <v>88404</v>
      </c>
      <c r="F259" s="7" t="str">
        <f>"070280136"</f>
        <v>070280136</v>
      </c>
      <c r="H259" s="7">
        <v>813</v>
      </c>
      <c r="I259" s="11">
        <v>0.06</v>
      </c>
    </row>
    <row r="260" spans="1:9" ht="28.5">
      <c r="A260" s="7" t="s">
        <v>334</v>
      </c>
      <c r="B260" s="7">
        <v>4242</v>
      </c>
      <c r="C260" s="7" t="str">
        <f t="shared" si="12"/>
        <v>070280000</v>
      </c>
      <c r="D260" s="7" t="s">
        <v>345</v>
      </c>
      <c r="E260" s="7">
        <v>80102</v>
      </c>
      <c r="F260" s="7" t="str">
        <f>"070280133"</f>
        <v>070280133</v>
      </c>
      <c r="H260" s="7">
        <v>720</v>
      </c>
      <c r="I260" s="11">
        <v>0.2</v>
      </c>
    </row>
    <row r="261" spans="1:9" ht="28.5">
      <c r="A261" s="7" t="s">
        <v>334</v>
      </c>
      <c r="B261" s="7">
        <v>4242</v>
      </c>
      <c r="C261" s="7" t="str">
        <f t="shared" si="12"/>
        <v>070280000</v>
      </c>
      <c r="D261" s="7" t="s">
        <v>346</v>
      </c>
      <c r="E261" s="7">
        <v>85837</v>
      </c>
      <c r="F261" s="7" t="str">
        <f>"070280134"</f>
        <v>070280134</v>
      </c>
      <c r="H261" s="7">
        <v>635</v>
      </c>
      <c r="I261" s="11">
        <v>0.12</v>
      </c>
    </row>
    <row r="262" spans="1:9" ht="28.5">
      <c r="A262" s="7" t="s">
        <v>334</v>
      </c>
      <c r="B262" s="7">
        <v>4242</v>
      </c>
      <c r="C262" s="7" t="str">
        <f t="shared" si="12"/>
        <v>070280000</v>
      </c>
      <c r="D262" s="7" t="s">
        <v>347</v>
      </c>
      <c r="E262" s="7">
        <v>5122</v>
      </c>
      <c r="F262" s="7" t="str">
        <f>"070280117"</f>
        <v>070280117</v>
      </c>
      <c r="H262" s="7">
        <v>536</v>
      </c>
      <c r="I262" s="11">
        <v>0.32</v>
      </c>
    </row>
    <row r="263" spans="1:9">
      <c r="A263" s="7" t="s">
        <v>334</v>
      </c>
      <c r="B263" s="7">
        <v>4242</v>
      </c>
      <c r="C263" s="7" t="str">
        <f t="shared" si="12"/>
        <v>070280000</v>
      </c>
      <c r="D263" s="7" t="s">
        <v>348</v>
      </c>
      <c r="E263" s="7">
        <v>89926</v>
      </c>
      <c r="F263" s="7" t="str">
        <f>"070280140"</f>
        <v>070280140</v>
      </c>
      <c r="H263" s="7">
        <v>819</v>
      </c>
      <c r="I263" s="11">
        <v>0.12</v>
      </c>
    </row>
    <row r="264" spans="1:9" ht="28.5">
      <c r="A264" s="7" t="s">
        <v>334</v>
      </c>
      <c r="B264" s="7">
        <v>4242</v>
      </c>
      <c r="C264" s="7" t="str">
        <f t="shared" si="12"/>
        <v>070280000</v>
      </c>
      <c r="D264" s="7" t="s">
        <v>349</v>
      </c>
      <c r="E264" s="7">
        <v>5126</v>
      </c>
      <c r="F264" s="7" t="str">
        <f>"070280122"</f>
        <v>070280122</v>
      </c>
      <c r="H264" s="7">
        <v>760</v>
      </c>
      <c r="I264" s="11">
        <v>0.65</v>
      </c>
    </row>
    <row r="265" spans="1:9">
      <c r="A265" s="7" t="s">
        <v>334</v>
      </c>
      <c r="B265" s="7">
        <v>4242</v>
      </c>
      <c r="C265" s="7" t="str">
        <f t="shared" si="12"/>
        <v>070280000</v>
      </c>
      <c r="D265" s="7" t="s">
        <v>350</v>
      </c>
      <c r="E265" s="7">
        <v>92892</v>
      </c>
      <c r="F265" s="7" t="str">
        <f>"070280247"</f>
        <v>070280247</v>
      </c>
      <c r="H265" s="7">
        <v>2982</v>
      </c>
      <c r="I265" s="11">
        <v>0.16</v>
      </c>
    </row>
    <row r="266" spans="1:9" ht="28.5">
      <c r="A266" s="7" t="s">
        <v>334</v>
      </c>
      <c r="B266" s="7">
        <v>4242</v>
      </c>
      <c r="C266" s="7" t="str">
        <f t="shared" si="12"/>
        <v>070280000</v>
      </c>
      <c r="D266" s="7" t="s">
        <v>351</v>
      </c>
      <c r="E266" s="7">
        <v>92891</v>
      </c>
      <c r="F266" s="7" t="str">
        <f>"070280146"</f>
        <v>070280146</v>
      </c>
      <c r="H266" s="7">
        <v>588</v>
      </c>
      <c r="I266" s="11">
        <v>0.25</v>
      </c>
    </row>
    <row r="267" spans="1:9">
      <c r="A267" s="7" t="s">
        <v>334</v>
      </c>
      <c r="B267" s="7">
        <v>4242</v>
      </c>
      <c r="C267" s="7" t="str">
        <f t="shared" si="12"/>
        <v>070280000</v>
      </c>
      <c r="D267" s="7" t="s">
        <v>352</v>
      </c>
      <c r="E267" s="7">
        <v>5116</v>
      </c>
      <c r="F267" s="7" t="str">
        <f>"070280111"</f>
        <v>070280111</v>
      </c>
      <c r="H267" s="7">
        <v>552</v>
      </c>
      <c r="I267" s="11">
        <v>0.85</v>
      </c>
    </row>
    <row r="268" spans="1:9">
      <c r="A268" s="7" t="s">
        <v>334</v>
      </c>
      <c r="B268" s="7">
        <v>4242</v>
      </c>
      <c r="C268" s="7" t="str">
        <f t="shared" si="12"/>
        <v>070280000</v>
      </c>
      <c r="D268" s="7" t="s">
        <v>353</v>
      </c>
      <c r="E268" s="7">
        <v>5113</v>
      </c>
      <c r="F268" s="7" t="str">
        <f>"070280107"</f>
        <v>070280107</v>
      </c>
      <c r="G268" s="7" t="s">
        <v>26</v>
      </c>
      <c r="H268" s="7">
        <v>500</v>
      </c>
      <c r="I268" s="11">
        <v>0.87</v>
      </c>
    </row>
    <row r="269" spans="1:9">
      <c r="A269" s="7" t="s">
        <v>334</v>
      </c>
      <c r="B269" s="7">
        <v>4242</v>
      </c>
      <c r="C269" s="7" t="str">
        <f t="shared" si="12"/>
        <v>070280000</v>
      </c>
      <c r="D269" s="7" t="s">
        <v>354</v>
      </c>
      <c r="E269" s="7">
        <v>89925</v>
      </c>
      <c r="F269" s="7" t="str">
        <f>"070280141"</f>
        <v>070280141</v>
      </c>
      <c r="H269" s="7">
        <v>715</v>
      </c>
      <c r="I269" s="11">
        <v>0.16</v>
      </c>
    </row>
    <row r="270" spans="1:9">
      <c r="A270" s="7" t="s">
        <v>334</v>
      </c>
      <c r="B270" s="7">
        <v>4242</v>
      </c>
      <c r="C270" s="7" t="str">
        <f t="shared" si="12"/>
        <v>070280000</v>
      </c>
      <c r="D270" s="7" t="s">
        <v>355</v>
      </c>
      <c r="E270" s="7">
        <v>6015</v>
      </c>
      <c r="F270" s="7" t="str">
        <f>"070280223"</f>
        <v>070280223</v>
      </c>
      <c r="H270" s="7">
        <v>3663</v>
      </c>
      <c r="I270" s="11">
        <v>0.25</v>
      </c>
    </row>
    <row r="271" spans="1:9">
      <c r="A271" s="7" t="s">
        <v>334</v>
      </c>
      <c r="B271" s="7">
        <v>4242</v>
      </c>
      <c r="C271" s="7" t="str">
        <f t="shared" si="12"/>
        <v>070280000</v>
      </c>
      <c r="D271" s="7" t="s">
        <v>356</v>
      </c>
      <c r="E271" s="7">
        <v>5114</v>
      </c>
      <c r="F271" s="7" t="str">
        <f>"070280108"</f>
        <v>070280108</v>
      </c>
      <c r="G271" s="7" t="s">
        <v>26</v>
      </c>
      <c r="H271" s="7">
        <v>768</v>
      </c>
      <c r="I271" s="11">
        <v>0.84</v>
      </c>
    </row>
    <row r="272" spans="1:9">
      <c r="A272" s="7" t="s">
        <v>334</v>
      </c>
      <c r="B272" s="7">
        <v>4242</v>
      </c>
      <c r="C272" s="7" t="str">
        <f t="shared" si="12"/>
        <v>070280000</v>
      </c>
      <c r="D272" s="7" t="s">
        <v>357</v>
      </c>
      <c r="E272" s="7">
        <v>89590</v>
      </c>
      <c r="F272" s="7" t="str">
        <f>"070280138"</f>
        <v>070280138</v>
      </c>
      <c r="H272" s="7">
        <v>548</v>
      </c>
      <c r="I272" s="11">
        <v>0.15</v>
      </c>
    </row>
    <row r="273" spans="1:9">
      <c r="A273" s="7" t="s">
        <v>334</v>
      </c>
      <c r="B273" s="7">
        <v>4242</v>
      </c>
      <c r="C273" s="7" t="str">
        <f t="shared" si="12"/>
        <v>070280000</v>
      </c>
      <c r="D273" s="7" t="s">
        <v>358</v>
      </c>
      <c r="E273" s="7">
        <v>79653</v>
      </c>
      <c r="F273" s="7" t="str">
        <f>"070280130"</f>
        <v>070280130</v>
      </c>
      <c r="H273" s="7">
        <v>521</v>
      </c>
      <c r="I273" s="11">
        <v>0.28999999999999998</v>
      </c>
    </row>
    <row r="274" spans="1:9" ht="28.5">
      <c r="A274" s="7" t="s">
        <v>334</v>
      </c>
      <c r="B274" s="7">
        <v>4242</v>
      </c>
      <c r="C274" s="7" t="str">
        <f t="shared" si="12"/>
        <v>070280000</v>
      </c>
      <c r="D274" s="7" t="s">
        <v>359</v>
      </c>
      <c r="E274" s="7">
        <v>91794</v>
      </c>
      <c r="F274" s="7" t="str">
        <f>"070280142"</f>
        <v>070280142</v>
      </c>
      <c r="H274" s="7">
        <v>632</v>
      </c>
      <c r="I274" s="11">
        <v>0.11</v>
      </c>
    </row>
    <row r="275" spans="1:9" ht="28.5">
      <c r="A275" s="7" t="s">
        <v>334</v>
      </c>
      <c r="B275" s="7">
        <v>4242</v>
      </c>
      <c r="C275" s="7" t="str">
        <f t="shared" si="12"/>
        <v>070280000</v>
      </c>
      <c r="D275" s="7" t="s">
        <v>360</v>
      </c>
      <c r="E275" s="7">
        <v>5121</v>
      </c>
      <c r="F275" s="7" t="str">
        <f>"070280116"</f>
        <v>070280116</v>
      </c>
      <c r="H275" s="7">
        <v>484</v>
      </c>
      <c r="I275" s="11">
        <v>0.69</v>
      </c>
    </row>
    <row r="276" spans="1:9">
      <c r="A276" s="7" t="s">
        <v>334</v>
      </c>
      <c r="B276" s="7">
        <v>4242</v>
      </c>
      <c r="C276" s="7" t="str">
        <f t="shared" si="12"/>
        <v>070280000</v>
      </c>
      <c r="D276" s="7" t="s">
        <v>361</v>
      </c>
      <c r="E276" s="7">
        <v>5123</v>
      </c>
      <c r="F276" s="7" t="str">
        <f>"070280118"</f>
        <v>070280118</v>
      </c>
      <c r="H276" s="7">
        <v>752</v>
      </c>
      <c r="I276" s="11">
        <v>0.72</v>
      </c>
    </row>
    <row r="277" spans="1:9">
      <c r="A277" s="7" t="s">
        <v>334</v>
      </c>
      <c r="B277" s="7">
        <v>4242</v>
      </c>
      <c r="C277" s="7" t="str">
        <f t="shared" si="12"/>
        <v>070280000</v>
      </c>
      <c r="D277" s="7" t="s">
        <v>362</v>
      </c>
      <c r="E277" s="7">
        <v>90027</v>
      </c>
      <c r="F277" s="7" t="str">
        <f>"070280244"</f>
        <v>070280244</v>
      </c>
      <c r="H277" s="7">
        <v>166</v>
      </c>
      <c r="I277" s="11">
        <v>0.64</v>
      </c>
    </row>
    <row r="278" spans="1:9">
      <c r="A278" s="7" t="s">
        <v>334</v>
      </c>
      <c r="B278" s="7">
        <v>4242</v>
      </c>
      <c r="C278" s="7" t="str">
        <f t="shared" si="12"/>
        <v>070280000</v>
      </c>
      <c r="D278" s="7" t="s">
        <v>363</v>
      </c>
      <c r="E278" s="7">
        <v>5115</v>
      </c>
      <c r="F278" s="7" t="str">
        <f>"070280109"</f>
        <v>070280109</v>
      </c>
      <c r="H278" s="7">
        <v>688</v>
      </c>
      <c r="I278" s="11">
        <v>0.08</v>
      </c>
    </row>
    <row r="279" spans="1:9">
      <c r="A279" s="7" t="s">
        <v>334</v>
      </c>
      <c r="B279" s="7">
        <v>4242</v>
      </c>
      <c r="C279" s="7" t="str">
        <f t="shared" si="12"/>
        <v>070280000</v>
      </c>
      <c r="D279" s="7" t="s">
        <v>364</v>
      </c>
      <c r="E279" s="7">
        <v>79636</v>
      </c>
      <c r="F279" s="7" t="str">
        <f>"070280132"</f>
        <v>070280132</v>
      </c>
      <c r="H279" s="7">
        <v>420</v>
      </c>
      <c r="I279" s="11">
        <v>0.32</v>
      </c>
    </row>
    <row r="280" spans="1:9">
      <c r="A280" s="7" t="s">
        <v>334</v>
      </c>
      <c r="B280" s="7">
        <v>4242</v>
      </c>
      <c r="C280" s="7" t="str">
        <f t="shared" si="12"/>
        <v>070280000</v>
      </c>
      <c r="D280" s="7" t="s">
        <v>365</v>
      </c>
      <c r="E280" s="7">
        <v>89613</v>
      </c>
      <c r="F280" s="7" t="str">
        <f>"070280228"</f>
        <v>070280228</v>
      </c>
      <c r="H280" s="7">
        <v>2667</v>
      </c>
      <c r="I280" s="11">
        <v>0.16</v>
      </c>
    </row>
    <row r="281" spans="1:9">
      <c r="A281" s="7" t="s">
        <v>334</v>
      </c>
      <c r="B281" s="7">
        <v>4242</v>
      </c>
      <c r="C281" s="7" t="str">
        <f t="shared" si="12"/>
        <v>070280000</v>
      </c>
      <c r="D281" s="7" t="s">
        <v>366</v>
      </c>
      <c r="E281" s="7">
        <v>89589</v>
      </c>
      <c r="F281" s="7" t="str">
        <f>"070280139"</f>
        <v>070280139</v>
      </c>
      <c r="H281" s="7">
        <v>843</v>
      </c>
      <c r="I281" s="11">
        <v>0.17</v>
      </c>
    </row>
    <row r="282" spans="1:9" ht="28.5">
      <c r="A282" s="7" t="s">
        <v>334</v>
      </c>
      <c r="B282" s="7">
        <v>4242</v>
      </c>
      <c r="C282" s="7" t="str">
        <f t="shared" si="12"/>
        <v>070280000</v>
      </c>
      <c r="D282" s="7" t="s">
        <v>367</v>
      </c>
      <c r="E282" s="7">
        <v>6014</v>
      </c>
      <c r="F282" s="7" t="str">
        <f>"070280127"</f>
        <v>070280127</v>
      </c>
      <c r="H282" s="7">
        <v>763</v>
      </c>
      <c r="I282" s="11">
        <v>0.24</v>
      </c>
    </row>
    <row r="283" spans="1:9" ht="28.5">
      <c r="A283" s="7" t="s">
        <v>334</v>
      </c>
      <c r="B283" s="7">
        <v>4242</v>
      </c>
      <c r="C283" s="7" t="str">
        <f t="shared" si="12"/>
        <v>070280000</v>
      </c>
      <c r="D283" s="7" t="s">
        <v>368</v>
      </c>
      <c r="E283" s="7">
        <v>1000381</v>
      </c>
      <c r="F283" s="7" t="str">
        <f>"070280148"</f>
        <v>070280148</v>
      </c>
      <c r="H283" s="7">
        <v>821</v>
      </c>
      <c r="I283" s="11">
        <v>0.14000000000000001</v>
      </c>
    </row>
    <row r="284" spans="1:9">
      <c r="A284" s="7" t="s">
        <v>334</v>
      </c>
      <c r="B284" s="7">
        <v>4242</v>
      </c>
      <c r="C284" s="7" t="str">
        <f t="shared" si="12"/>
        <v>070280000</v>
      </c>
      <c r="D284" s="7" t="s">
        <v>369</v>
      </c>
      <c r="E284" s="7">
        <v>6013</v>
      </c>
      <c r="F284" s="7" t="str">
        <f>"070280124"</f>
        <v>070280124</v>
      </c>
      <c r="H284" s="7">
        <v>454</v>
      </c>
      <c r="I284" s="11">
        <v>0.78</v>
      </c>
    </row>
    <row r="285" spans="1:9">
      <c r="A285" s="7" t="s">
        <v>334</v>
      </c>
      <c r="B285" s="7">
        <v>4242</v>
      </c>
      <c r="C285" s="7" t="str">
        <f t="shared" si="12"/>
        <v>070280000</v>
      </c>
      <c r="D285" s="7" t="s">
        <v>370</v>
      </c>
      <c r="E285" s="7">
        <v>5111</v>
      </c>
      <c r="F285" s="7" t="str">
        <f>"070280105"</f>
        <v>070280105</v>
      </c>
      <c r="G285" s="7" t="s">
        <v>26</v>
      </c>
      <c r="H285" s="7">
        <v>378</v>
      </c>
      <c r="I285" s="11">
        <v>0.81</v>
      </c>
    </row>
    <row r="286" spans="1:9">
      <c r="A286" s="7" t="s">
        <v>334</v>
      </c>
      <c r="B286" s="7">
        <v>4242</v>
      </c>
      <c r="C286" s="7" t="str">
        <f t="shared" si="12"/>
        <v>070280000</v>
      </c>
      <c r="D286" s="7" t="s">
        <v>371</v>
      </c>
      <c r="E286" s="7">
        <v>5118</v>
      </c>
      <c r="F286" s="7" t="str">
        <f>"070280113"</f>
        <v>070280113</v>
      </c>
      <c r="H286" s="7">
        <v>560</v>
      </c>
      <c r="I286" s="11">
        <v>0.66</v>
      </c>
    </row>
    <row r="287" spans="1:9">
      <c r="A287" s="7" t="s">
        <v>334</v>
      </c>
      <c r="B287" s="7">
        <v>4242</v>
      </c>
      <c r="C287" s="7" t="str">
        <f t="shared" si="12"/>
        <v>070280000</v>
      </c>
      <c r="D287" s="7" t="s">
        <v>372</v>
      </c>
      <c r="E287" s="7">
        <v>87679</v>
      </c>
      <c r="F287" s="7" t="str">
        <f>"070280137"</f>
        <v>070280137</v>
      </c>
      <c r="H287" s="7">
        <v>642</v>
      </c>
      <c r="I287" s="11">
        <v>0.19</v>
      </c>
    </row>
    <row r="288" spans="1:9">
      <c r="A288" s="7" t="s">
        <v>334</v>
      </c>
      <c r="B288" s="7">
        <v>4242</v>
      </c>
      <c r="C288" s="7" t="str">
        <f t="shared" si="12"/>
        <v>070280000</v>
      </c>
      <c r="D288" s="7" t="s">
        <v>373</v>
      </c>
      <c r="E288" s="7">
        <v>79634</v>
      </c>
      <c r="F288" s="7" t="str">
        <f>"070280121"</f>
        <v>070280121</v>
      </c>
      <c r="H288" s="7">
        <v>1189</v>
      </c>
      <c r="I288" s="11">
        <v>0.19</v>
      </c>
    </row>
    <row r="289" spans="1:9">
      <c r="A289" s="7" t="s">
        <v>334</v>
      </c>
      <c r="B289" s="7">
        <v>4242</v>
      </c>
      <c r="C289" s="7" t="str">
        <f t="shared" si="12"/>
        <v>070280000</v>
      </c>
      <c r="D289" s="7" t="s">
        <v>374</v>
      </c>
      <c r="E289" s="7">
        <v>5124</v>
      </c>
      <c r="F289" s="7" t="str">
        <f>"070280119"</f>
        <v>070280119</v>
      </c>
      <c r="H289" s="7">
        <v>490</v>
      </c>
      <c r="I289" s="11">
        <v>0.64</v>
      </c>
    </row>
    <row r="290" spans="1:9" ht="28.5">
      <c r="A290" s="7" t="s">
        <v>334</v>
      </c>
      <c r="B290" s="7">
        <v>4242</v>
      </c>
      <c r="C290" s="7" t="str">
        <f t="shared" si="12"/>
        <v>070280000</v>
      </c>
      <c r="D290" s="7" t="s">
        <v>375</v>
      </c>
      <c r="E290" s="7">
        <v>79635</v>
      </c>
      <c r="F290" s="7" t="str">
        <f>"070280131"</f>
        <v>070280131</v>
      </c>
      <c r="H290" s="7">
        <v>707</v>
      </c>
      <c r="I290" s="11">
        <v>0.45</v>
      </c>
    </row>
    <row r="291" spans="1:9">
      <c r="A291" s="7" t="s">
        <v>334</v>
      </c>
      <c r="B291" s="7">
        <v>4242</v>
      </c>
      <c r="C291" s="7" t="str">
        <f t="shared" si="12"/>
        <v>070280000</v>
      </c>
      <c r="D291" s="7" t="s">
        <v>376</v>
      </c>
      <c r="E291" s="7">
        <v>5120</v>
      </c>
      <c r="F291" s="7" t="str">
        <f>"070280115"</f>
        <v>070280115</v>
      </c>
      <c r="H291" s="7">
        <v>752</v>
      </c>
      <c r="I291" s="11">
        <v>0.03</v>
      </c>
    </row>
    <row r="292" spans="1:9">
      <c r="A292" s="7" t="s">
        <v>334</v>
      </c>
      <c r="B292" s="7">
        <v>4242</v>
      </c>
      <c r="C292" s="7" t="str">
        <f t="shared" si="12"/>
        <v>070280000</v>
      </c>
      <c r="D292" s="7" t="s">
        <v>377</v>
      </c>
      <c r="E292" s="7">
        <v>87519</v>
      </c>
      <c r="F292" s="7" t="str">
        <f>"070280110"</f>
        <v>070280110</v>
      </c>
      <c r="H292" s="7">
        <v>1129</v>
      </c>
      <c r="I292" s="11">
        <v>0.14000000000000001</v>
      </c>
    </row>
    <row r="293" spans="1:9">
      <c r="A293" s="7" t="s">
        <v>334</v>
      </c>
      <c r="B293" s="7">
        <v>4242</v>
      </c>
      <c r="C293" s="7" t="str">
        <f t="shared" si="12"/>
        <v>070280000</v>
      </c>
      <c r="D293" s="7" t="s">
        <v>378</v>
      </c>
      <c r="E293" s="7">
        <v>5110</v>
      </c>
      <c r="F293" s="7" t="str">
        <f>"070280104"</f>
        <v>070280104</v>
      </c>
      <c r="H293" s="7">
        <v>916</v>
      </c>
      <c r="I293" s="11">
        <v>0.61</v>
      </c>
    </row>
    <row r="294" spans="1:9" ht="28.5">
      <c r="A294" s="7" t="s">
        <v>379</v>
      </c>
      <c r="B294" s="7">
        <v>80242</v>
      </c>
      <c r="C294" s="7" t="str">
        <f>"094006000"</f>
        <v>094006000</v>
      </c>
      <c r="D294" s="7" t="s">
        <v>379</v>
      </c>
      <c r="E294" s="7">
        <v>80378</v>
      </c>
      <c r="F294" s="7" t="str">
        <f>"033904009"</f>
        <v>033904009</v>
      </c>
      <c r="G294" s="7" t="s">
        <v>16</v>
      </c>
      <c r="H294" s="7">
        <v>66</v>
      </c>
      <c r="I294" s="11" t="s">
        <v>17</v>
      </c>
    </row>
    <row r="295" spans="1:9" ht="28.5">
      <c r="A295" s="7" t="s">
        <v>380</v>
      </c>
      <c r="B295" s="7">
        <v>4158</v>
      </c>
      <c r="C295" s="7" t="str">
        <f t="shared" ref="C295:C301" si="13">"010224000"</f>
        <v>010224000</v>
      </c>
      <c r="D295" s="7" t="s">
        <v>381</v>
      </c>
      <c r="E295" s="7">
        <v>4733</v>
      </c>
      <c r="F295" s="7" t="str">
        <f>"010224155"</f>
        <v>010224155</v>
      </c>
      <c r="G295" s="7" t="s">
        <v>16</v>
      </c>
      <c r="H295" s="7">
        <v>300</v>
      </c>
      <c r="I295" s="11" t="s">
        <v>17</v>
      </c>
    </row>
    <row r="296" spans="1:9" ht="28.5">
      <c r="A296" s="7" t="s">
        <v>380</v>
      </c>
      <c r="B296" s="7">
        <v>4158</v>
      </c>
      <c r="C296" s="7" t="str">
        <f t="shared" si="13"/>
        <v>010224000</v>
      </c>
      <c r="D296" s="7" t="s">
        <v>382</v>
      </c>
      <c r="E296" s="7">
        <v>4732</v>
      </c>
      <c r="F296" s="7" t="str">
        <f>"010224150"</f>
        <v>010224150</v>
      </c>
      <c r="G296" s="7" t="s">
        <v>16</v>
      </c>
      <c r="H296" s="7">
        <v>518</v>
      </c>
      <c r="I296" s="11">
        <v>0.94</v>
      </c>
    </row>
    <row r="297" spans="1:9" ht="28.5">
      <c r="A297" s="7" t="s">
        <v>380</v>
      </c>
      <c r="B297" s="7">
        <v>4158</v>
      </c>
      <c r="C297" s="7" t="str">
        <f t="shared" si="13"/>
        <v>010224000</v>
      </c>
      <c r="D297" s="7" t="s">
        <v>383</v>
      </c>
      <c r="E297" s="7">
        <v>4737</v>
      </c>
      <c r="F297" s="7" t="str">
        <f>"010224240"</f>
        <v>010224240</v>
      </c>
      <c r="G297" s="7" t="s">
        <v>16</v>
      </c>
      <c r="H297" s="7">
        <v>927</v>
      </c>
      <c r="I297" s="11">
        <v>0.97</v>
      </c>
    </row>
    <row r="298" spans="1:9" ht="28.5">
      <c r="A298" s="7" t="s">
        <v>380</v>
      </c>
      <c r="B298" s="7">
        <v>4158</v>
      </c>
      <c r="C298" s="7" t="str">
        <f t="shared" si="13"/>
        <v>010224000</v>
      </c>
      <c r="D298" s="7" t="s">
        <v>384</v>
      </c>
      <c r="E298" s="7">
        <v>4731</v>
      </c>
      <c r="F298" s="7" t="str">
        <f>"010224145"</f>
        <v>010224145</v>
      </c>
      <c r="G298" s="7" t="s">
        <v>16</v>
      </c>
      <c r="H298" s="7">
        <v>420</v>
      </c>
      <c r="I298" s="11" t="s">
        <v>17</v>
      </c>
    </row>
    <row r="299" spans="1:9" ht="28.5">
      <c r="A299" s="7" t="s">
        <v>380</v>
      </c>
      <c r="B299" s="7">
        <v>4158</v>
      </c>
      <c r="C299" s="7" t="str">
        <f t="shared" si="13"/>
        <v>010224000</v>
      </c>
      <c r="D299" s="7" t="s">
        <v>385</v>
      </c>
      <c r="E299" s="7">
        <v>4734</v>
      </c>
      <c r="F299" s="7" t="str">
        <f>"010224160"</f>
        <v>010224160</v>
      </c>
      <c r="G299" s="7" t="s">
        <v>16</v>
      </c>
      <c r="H299" s="7">
        <v>293</v>
      </c>
      <c r="I299" s="11" t="s">
        <v>17</v>
      </c>
    </row>
    <row r="300" spans="1:9" ht="28.5">
      <c r="A300" s="7" t="s">
        <v>380</v>
      </c>
      <c r="B300" s="7">
        <v>4158</v>
      </c>
      <c r="C300" s="7" t="str">
        <f t="shared" si="13"/>
        <v>010224000</v>
      </c>
      <c r="D300" s="7" t="s">
        <v>386</v>
      </c>
      <c r="E300" s="7">
        <v>4736</v>
      </c>
      <c r="F300" s="7" t="str">
        <f>"010224170"</f>
        <v>010224170</v>
      </c>
      <c r="G300" s="7" t="s">
        <v>16</v>
      </c>
      <c r="H300" s="7">
        <v>390</v>
      </c>
      <c r="I300" s="11" t="s">
        <v>17</v>
      </c>
    </row>
    <row r="301" spans="1:9" ht="28.5">
      <c r="A301" s="7" t="s">
        <v>380</v>
      </c>
      <c r="B301" s="7">
        <v>4158</v>
      </c>
      <c r="C301" s="7" t="str">
        <f t="shared" si="13"/>
        <v>010224000</v>
      </c>
      <c r="D301" s="7" t="s">
        <v>387</v>
      </c>
      <c r="E301" s="7">
        <v>4735</v>
      </c>
      <c r="F301" s="7" t="str">
        <f>"010224165"</f>
        <v>010224165</v>
      </c>
      <c r="G301" s="7" t="s">
        <v>16</v>
      </c>
      <c r="H301" s="7">
        <v>368</v>
      </c>
      <c r="I301" s="11" t="s">
        <v>17</v>
      </c>
    </row>
    <row r="302" spans="1:9">
      <c r="A302" s="7" t="s">
        <v>388</v>
      </c>
      <c r="B302" s="7">
        <v>4474</v>
      </c>
      <c r="C302" s="7" t="str">
        <f>"130251000"</f>
        <v>130251000</v>
      </c>
      <c r="D302" s="7" t="s">
        <v>389</v>
      </c>
      <c r="E302" s="7">
        <v>6110</v>
      </c>
      <c r="F302" s="7" t="str">
        <f>"130251203"</f>
        <v>130251203</v>
      </c>
      <c r="G302" s="7" t="s">
        <v>26</v>
      </c>
      <c r="H302" s="7">
        <v>938</v>
      </c>
      <c r="I302" s="11">
        <v>0.43</v>
      </c>
    </row>
    <row r="303" spans="1:9">
      <c r="A303" s="7" t="s">
        <v>388</v>
      </c>
      <c r="B303" s="7">
        <v>4474</v>
      </c>
      <c r="C303" s="7" t="str">
        <f>"130251000"</f>
        <v>130251000</v>
      </c>
      <c r="D303" s="7" t="s">
        <v>390</v>
      </c>
      <c r="E303" s="7">
        <v>6108</v>
      </c>
      <c r="F303" s="7" t="str">
        <f>"130251101"</f>
        <v>130251101</v>
      </c>
      <c r="G303" s="7" t="s">
        <v>26</v>
      </c>
      <c r="H303" s="7">
        <v>478</v>
      </c>
      <c r="I303" s="11">
        <v>0.57999999999999996</v>
      </c>
    </row>
    <row r="304" spans="1:9">
      <c r="A304" s="7" t="s">
        <v>388</v>
      </c>
      <c r="B304" s="7">
        <v>4474</v>
      </c>
      <c r="C304" s="7" t="str">
        <f>"130251000"</f>
        <v>130251000</v>
      </c>
      <c r="D304" s="7" t="s">
        <v>391</v>
      </c>
      <c r="E304" s="7">
        <v>6109</v>
      </c>
      <c r="F304" s="7" t="str">
        <f>"130251102"</f>
        <v>130251102</v>
      </c>
      <c r="G304" s="7" t="s">
        <v>26</v>
      </c>
      <c r="H304" s="7">
        <v>495</v>
      </c>
      <c r="I304" s="11">
        <v>0.53</v>
      </c>
    </row>
    <row r="305" spans="1:9">
      <c r="A305" s="7" t="s">
        <v>388</v>
      </c>
      <c r="B305" s="7">
        <v>4474</v>
      </c>
      <c r="C305" s="7" t="str">
        <f>"130251000"</f>
        <v>130251000</v>
      </c>
      <c r="D305" s="7" t="s">
        <v>392</v>
      </c>
      <c r="E305" s="7">
        <v>78928</v>
      </c>
      <c r="F305" s="7" t="str">
        <f>"130251103"</f>
        <v>130251103</v>
      </c>
      <c r="G305" s="7" t="s">
        <v>26</v>
      </c>
      <c r="H305" s="7">
        <v>627</v>
      </c>
      <c r="I305" s="11">
        <v>0.54</v>
      </c>
    </row>
    <row r="306" spans="1:9">
      <c r="A306" s="7" t="s">
        <v>393</v>
      </c>
      <c r="B306" s="7">
        <v>90138</v>
      </c>
      <c r="C306" s="7" t="str">
        <f>"078549000"</f>
        <v>078549000</v>
      </c>
      <c r="D306" s="7" t="s">
        <v>394</v>
      </c>
      <c r="E306" s="7">
        <v>90139</v>
      </c>
      <c r="F306" s="7" t="str">
        <f>"078549001"</f>
        <v>078549001</v>
      </c>
      <c r="H306" s="7">
        <v>669</v>
      </c>
      <c r="I306" s="11">
        <v>0.09</v>
      </c>
    </row>
    <row r="307" spans="1:9">
      <c r="A307" s="7" t="s">
        <v>393</v>
      </c>
      <c r="B307" s="7">
        <v>90138</v>
      </c>
      <c r="C307" s="7" t="str">
        <f>"078549000"</f>
        <v>078549000</v>
      </c>
      <c r="D307" s="7" t="s">
        <v>395</v>
      </c>
      <c r="E307" s="7">
        <v>92636</v>
      </c>
      <c r="F307" s="7" t="str">
        <f>"078549002"</f>
        <v>078549002</v>
      </c>
      <c r="H307" s="7">
        <v>65</v>
      </c>
      <c r="I307" s="11">
        <v>0.32</v>
      </c>
    </row>
    <row r="308" spans="1:9" ht="28.5">
      <c r="A308" s="7" t="s">
        <v>396</v>
      </c>
      <c r="B308" s="7">
        <v>5186</v>
      </c>
      <c r="C308" s="7" t="str">
        <f>"078995000"</f>
        <v>078995000</v>
      </c>
      <c r="D308" s="7" t="s">
        <v>397</v>
      </c>
      <c r="E308" s="7">
        <v>10801</v>
      </c>
      <c r="F308" s="7" t="str">
        <f>"078995001"</f>
        <v>078995001</v>
      </c>
      <c r="G308" s="7" t="s">
        <v>16</v>
      </c>
      <c r="H308" s="7">
        <v>198</v>
      </c>
      <c r="I308" s="11">
        <v>0.74</v>
      </c>
    </row>
    <row r="309" spans="1:9" ht="28.5">
      <c r="A309" s="7" t="s">
        <v>396</v>
      </c>
      <c r="B309" s="7">
        <v>5186</v>
      </c>
      <c r="C309" s="7" t="str">
        <f>"078995000"</f>
        <v>078995000</v>
      </c>
      <c r="D309" s="7" t="s">
        <v>398</v>
      </c>
      <c r="E309" s="7">
        <v>92637</v>
      </c>
      <c r="F309" s="7" t="str">
        <f>"078995002"</f>
        <v>078995002</v>
      </c>
      <c r="G309" s="7" t="s">
        <v>16</v>
      </c>
      <c r="H309" s="7">
        <v>332</v>
      </c>
      <c r="I309" s="11">
        <v>0.64</v>
      </c>
    </row>
    <row r="310" spans="1:9">
      <c r="A310" s="7" t="s">
        <v>399</v>
      </c>
      <c r="B310" s="7">
        <v>80297</v>
      </c>
      <c r="C310" s="7" t="str">
        <f>"072029000"</f>
        <v>072029000</v>
      </c>
      <c r="D310" s="7" t="s">
        <v>399</v>
      </c>
      <c r="E310" s="7">
        <v>92354</v>
      </c>
      <c r="F310" s="7" t="str">
        <f>"072029002"</f>
        <v>072029002</v>
      </c>
      <c r="H310" s="7">
        <v>203</v>
      </c>
      <c r="I310" s="11">
        <v>0.32</v>
      </c>
    </row>
    <row r="311" spans="1:9" ht="28.5">
      <c r="A311" s="7" t="s">
        <v>400</v>
      </c>
      <c r="B311" s="7">
        <v>80415</v>
      </c>
      <c r="C311" s="7" t="str">
        <f>"093916000"</f>
        <v>093916000</v>
      </c>
      <c r="D311" s="7" t="s">
        <v>401</v>
      </c>
      <c r="E311" s="7">
        <v>80416</v>
      </c>
      <c r="F311" s="7" t="str">
        <f>"104001005"</f>
        <v>104001005</v>
      </c>
      <c r="G311" s="7" t="s">
        <v>16</v>
      </c>
      <c r="H311" s="7">
        <v>624</v>
      </c>
      <c r="I311" s="11" t="s">
        <v>17</v>
      </c>
    </row>
    <row r="312" spans="1:9">
      <c r="A312" s="7" t="s">
        <v>402</v>
      </c>
      <c r="B312" s="7">
        <v>85448</v>
      </c>
      <c r="C312" s="7" t="str">
        <f>"108720000"</f>
        <v>108720000</v>
      </c>
      <c r="D312" s="7" t="s">
        <v>403</v>
      </c>
      <c r="E312" s="7">
        <v>85451</v>
      </c>
      <c r="F312" s="7" t="str">
        <f>"108720201"</f>
        <v>108720201</v>
      </c>
      <c r="H312" s="7">
        <v>183</v>
      </c>
      <c r="I312" s="11">
        <v>0.45</v>
      </c>
    </row>
    <row r="313" spans="1:9" ht="28.5">
      <c r="A313" s="7" t="s">
        <v>402</v>
      </c>
      <c r="B313" s="7">
        <v>85448</v>
      </c>
      <c r="C313" s="7" t="str">
        <f>"108720000"</f>
        <v>108720000</v>
      </c>
      <c r="D313" s="7" t="s">
        <v>404</v>
      </c>
      <c r="E313" s="7">
        <v>92561</v>
      </c>
      <c r="F313" s="7" t="str">
        <f>"108720102"</f>
        <v>108720102</v>
      </c>
      <c r="H313" s="7">
        <v>66</v>
      </c>
      <c r="I313" s="11">
        <v>0.55000000000000004</v>
      </c>
    </row>
    <row r="314" spans="1:9" ht="28.5">
      <c r="A314" s="7" t="s">
        <v>402</v>
      </c>
      <c r="B314" s="7">
        <v>85448</v>
      </c>
      <c r="C314" s="7" t="str">
        <f>"108720000"</f>
        <v>108720000</v>
      </c>
      <c r="D314" s="7" t="s">
        <v>405</v>
      </c>
      <c r="E314" s="7">
        <v>87441</v>
      </c>
      <c r="F314" s="7" t="str">
        <f>"108720101"</f>
        <v>108720101</v>
      </c>
      <c r="H314" s="7">
        <v>65</v>
      </c>
      <c r="I314" s="11">
        <v>0.49</v>
      </c>
    </row>
    <row r="315" spans="1:9" ht="28.5">
      <c r="A315" s="7" t="s">
        <v>406</v>
      </c>
      <c r="B315" s="7">
        <v>4486</v>
      </c>
      <c r="C315" s="7" t="str">
        <f>"130403000"</f>
        <v>130403000</v>
      </c>
      <c r="D315" s="7" t="s">
        <v>407</v>
      </c>
      <c r="E315" s="7">
        <v>6122</v>
      </c>
      <c r="F315" s="7" t="str">
        <f>"130403101"</f>
        <v>130403101</v>
      </c>
      <c r="H315" s="7">
        <v>470</v>
      </c>
      <c r="I315" s="11">
        <v>0.5</v>
      </c>
    </row>
    <row r="316" spans="1:9">
      <c r="A316" s="7" t="s">
        <v>408</v>
      </c>
      <c r="B316" s="7">
        <v>81027</v>
      </c>
      <c r="C316" s="7" t="str">
        <f t="shared" ref="C316:C321" si="14">"028701000"</f>
        <v>028701000</v>
      </c>
      <c r="D316" s="7" t="s">
        <v>409</v>
      </c>
      <c r="E316" s="7">
        <v>5503</v>
      </c>
      <c r="F316" s="7" t="str">
        <f>"078993201"</f>
        <v>078993201</v>
      </c>
      <c r="H316" s="7">
        <v>475</v>
      </c>
      <c r="I316" s="11">
        <v>0.81</v>
      </c>
    </row>
    <row r="317" spans="1:9">
      <c r="A317" s="7" t="s">
        <v>408</v>
      </c>
      <c r="B317" s="7">
        <v>81027</v>
      </c>
      <c r="C317" s="7" t="str">
        <f t="shared" si="14"/>
        <v>028701000</v>
      </c>
      <c r="D317" s="7" t="s">
        <v>410</v>
      </c>
      <c r="E317" s="7">
        <v>5475</v>
      </c>
      <c r="F317" s="7" t="str">
        <f>"078630001"</f>
        <v>078630001</v>
      </c>
      <c r="H317" s="7">
        <v>115</v>
      </c>
      <c r="I317" s="11">
        <v>0.81</v>
      </c>
    </row>
    <row r="318" spans="1:9">
      <c r="A318" s="7" t="s">
        <v>408</v>
      </c>
      <c r="B318" s="7">
        <v>81027</v>
      </c>
      <c r="C318" s="7" t="str">
        <f t="shared" si="14"/>
        <v>028701000</v>
      </c>
      <c r="D318" s="7" t="s">
        <v>411</v>
      </c>
      <c r="E318" s="7">
        <v>81200</v>
      </c>
      <c r="F318" s="7" t="str">
        <f>"078630003"</f>
        <v>078630003</v>
      </c>
      <c r="H318" s="7">
        <v>57</v>
      </c>
      <c r="I318" s="11">
        <v>0.72</v>
      </c>
    </row>
    <row r="319" spans="1:9" ht="28.5">
      <c r="A319" s="7" t="s">
        <v>408</v>
      </c>
      <c r="B319" s="7">
        <v>81027</v>
      </c>
      <c r="C319" s="7" t="str">
        <f t="shared" si="14"/>
        <v>028701000</v>
      </c>
      <c r="D319" s="7" t="s">
        <v>412</v>
      </c>
      <c r="E319" s="7">
        <v>81028</v>
      </c>
      <c r="F319" s="7" t="str">
        <f>"028701001"</f>
        <v>028701001</v>
      </c>
      <c r="G319" s="7" t="s">
        <v>16</v>
      </c>
      <c r="H319" s="7">
        <v>383</v>
      </c>
      <c r="I319" s="11">
        <v>0.64</v>
      </c>
    </row>
    <row r="320" spans="1:9" ht="28.5">
      <c r="A320" s="7" t="s">
        <v>408</v>
      </c>
      <c r="B320" s="7">
        <v>81027</v>
      </c>
      <c r="C320" s="7" t="str">
        <f t="shared" si="14"/>
        <v>028701000</v>
      </c>
      <c r="D320" s="7" t="s">
        <v>413</v>
      </c>
      <c r="E320" s="7">
        <v>5515</v>
      </c>
      <c r="F320" s="7" t="str">
        <f>"078716001"</f>
        <v>078716001</v>
      </c>
      <c r="H320" s="7">
        <v>440</v>
      </c>
      <c r="I320" s="11">
        <v>0.72</v>
      </c>
    </row>
    <row r="321" spans="1:9">
      <c r="A321" s="7" t="s">
        <v>408</v>
      </c>
      <c r="B321" s="7">
        <v>81027</v>
      </c>
      <c r="C321" s="7" t="str">
        <f t="shared" si="14"/>
        <v>028701000</v>
      </c>
      <c r="D321" s="7" t="s">
        <v>414</v>
      </c>
      <c r="E321" s="7">
        <v>92531</v>
      </c>
      <c r="F321" s="7" t="str">
        <f>"071980001"</f>
        <v>071980001</v>
      </c>
      <c r="H321" s="7">
        <v>59</v>
      </c>
      <c r="I321" s="11">
        <v>0.71</v>
      </c>
    </row>
    <row r="322" spans="1:9">
      <c r="A322" s="7" t="s">
        <v>415</v>
      </c>
      <c r="B322" s="7">
        <v>4177</v>
      </c>
      <c r="C322" s="7" t="str">
        <f>"020326000"</f>
        <v>020326000</v>
      </c>
      <c r="D322" s="7" t="s">
        <v>416</v>
      </c>
      <c r="E322" s="7">
        <v>4785</v>
      </c>
      <c r="F322" s="7" t="str">
        <f>"020326101"</f>
        <v>020326101</v>
      </c>
      <c r="H322" s="7">
        <v>81</v>
      </c>
      <c r="I322" s="11">
        <v>0.43</v>
      </c>
    </row>
    <row r="323" spans="1:9" ht="28.5">
      <c r="A323" s="7" t="s">
        <v>417</v>
      </c>
      <c r="B323" s="7">
        <v>79464</v>
      </c>
      <c r="C323" s="7" t="str">
        <f>"211013000"</f>
        <v>211013000</v>
      </c>
      <c r="D323" s="7" t="s">
        <v>417</v>
      </c>
      <c r="E323" s="7">
        <v>79526</v>
      </c>
      <c r="F323" s="7" t="str">
        <f>"211013001"</f>
        <v>211013001</v>
      </c>
      <c r="H323" s="7">
        <v>17</v>
      </c>
      <c r="I323" s="11" t="s">
        <v>17</v>
      </c>
    </row>
    <row r="324" spans="1:9">
      <c r="A324" s="7" t="s">
        <v>418</v>
      </c>
      <c r="B324" s="7">
        <v>4370</v>
      </c>
      <c r="C324" s="7" t="str">
        <f>"080214000"</f>
        <v>080214000</v>
      </c>
      <c r="D324" s="7" t="s">
        <v>419</v>
      </c>
      <c r="E324" s="7">
        <v>92635</v>
      </c>
      <c r="F324" s="7" t="str">
        <f>"080214102"</f>
        <v>080214102</v>
      </c>
      <c r="G324" s="7" t="s">
        <v>26</v>
      </c>
      <c r="H324" s="7">
        <v>364</v>
      </c>
      <c r="I324" s="11">
        <v>0.65</v>
      </c>
    </row>
    <row r="325" spans="1:9">
      <c r="A325" s="7" t="s">
        <v>418</v>
      </c>
      <c r="B325" s="7">
        <v>4370</v>
      </c>
      <c r="C325" s="7" t="str">
        <f>"080214000"</f>
        <v>080214000</v>
      </c>
      <c r="D325" s="7" t="s">
        <v>420</v>
      </c>
      <c r="E325" s="7">
        <v>5567</v>
      </c>
      <c r="F325" s="7" t="str">
        <f>"080214101"</f>
        <v>080214101</v>
      </c>
      <c r="G325" s="7" t="s">
        <v>26</v>
      </c>
      <c r="H325" s="7">
        <v>214</v>
      </c>
      <c r="I325" s="11">
        <v>0.73</v>
      </c>
    </row>
    <row r="326" spans="1:9">
      <c r="A326" s="7" t="s">
        <v>421</v>
      </c>
      <c r="B326" s="7">
        <v>4381</v>
      </c>
      <c r="C326" s="7" t="str">
        <f>"080502000"</f>
        <v>080502000</v>
      </c>
      <c r="D326" s="7" t="s">
        <v>422</v>
      </c>
      <c r="E326" s="7">
        <v>5592</v>
      </c>
      <c r="F326" s="7" t="str">
        <f>"080502001"</f>
        <v>080502001</v>
      </c>
      <c r="H326" s="7">
        <v>1070</v>
      </c>
      <c r="I326" s="11">
        <v>0.69</v>
      </c>
    </row>
    <row r="327" spans="1:9">
      <c r="A327" s="7" t="s">
        <v>421</v>
      </c>
      <c r="B327" s="7">
        <v>4381</v>
      </c>
      <c r="C327" s="7" t="str">
        <f>"080502000"</f>
        <v>080502000</v>
      </c>
      <c r="D327" s="7" t="s">
        <v>423</v>
      </c>
      <c r="E327" s="7">
        <v>5593</v>
      </c>
      <c r="F327" s="7" t="str">
        <f>"080502002"</f>
        <v>080502002</v>
      </c>
      <c r="H327" s="7">
        <v>566</v>
      </c>
      <c r="I327" s="11">
        <v>0.54</v>
      </c>
    </row>
    <row r="328" spans="1:9" ht="28.5">
      <c r="A328" s="7" t="s">
        <v>424</v>
      </c>
      <c r="B328" s="7">
        <v>4160</v>
      </c>
      <c r="C328" s="7" t="str">
        <f>"010306000"</f>
        <v>010306000</v>
      </c>
      <c r="D328" s="7" t="s">
        <v>425</v>
      </c>
      <c r="E328" s="7">
        <v>4742</v>
      </c>
      <c r="F328" s="7" t="str">
        <f>"010306101"</f>
        <v>010306101</v>
      </c>
      <c r="G328" s="7" t="s">
        <v>16</v>
      </c>
      <c r="H328" s="7">
        <v>170</v>
      </c>
      <c r="I328" s="11" t="s">
        <v>17</v>
      </c>
    </row>
    <row r="329" spans="1:9">
      <c r="A329" s="7" t="s">
        <v>426</v>
      </c>
      <c r="B329" s="7">
        <v>89556</v>
      </c>
      <c r="C329" s="7" t="str">
        <f>"078530000"</f>
        <v>078530000</v>
      </c>
      <c r="D329" s="7" t="s">
        <v>427</v>
      </c>
      <c r="E329" s="7">
        <v>89557</v>
      </c>
      <c r="F329" s="7" t="str">
        <f>"078530101"</f>
        <v>078530101</v>
      </c>
      <c r="G329" s="7" t="s">
        <v>26</v>
      </c>
      <c r="H329" s="7">
        <v>81</v>
      </c>
      <c r="I329" s="11">
        <v>0.71</v>
      </c>
    </row>
    <row r="330" spans="1:9">
      <c r="A330" s="7" t="s">
        <v>428</v>
      </c>
      <c r="B330" s="7">
        <v>4479</v>
      </c>
      <c r="C330" s="7" t="str">
        <f>"130317000"</f>
        <v>130317000</v>
      </c>
      <c r="D330" s="7" t="s">
        <v>429</v>
      </c>
      <c r="E330" s="7">
        <v>6114</v>
      </c>
      <c r="F330" s="7" t="str">
        <f>"130317001"</f>
        <v>130317001</v>
      </c>
      <c r="H330" s="7">
        <v>117</v>
      </c>
      <c r="I330" s="11">
        <v>0.69</v>
      </c>
    </row>
    <row r="331" spans="1:9">
      <c r="A331" s="7" t="s">
        <v>430</v>
      </c>
      <c r="B331" s="7">
        <v>4416</v>
      </c>
      <c r="C331" s="7" t="str">
        <f>"100339000"</f>
        <v>100339000</v>
      </c>
      <c r="D331" s="7" t="s">
        <v>431</v>
      </c>
      <c r="E331" s="7">
        <v>5855</v>
      </c>
      <c r="F331" s="7" t="str">
        <f>"100339001"</f>
        <v>100339001</v>
      </c>
      <c r="H331" s="7">
        <v>630</v>
      </c>
      <c r="I331" s="11">
        <v>0.35</v>
      </c>
    </row>
    <row r="332" spans="1:9" ht="28.5">
      <c r="A332" s="7" t="s">
        <v>432</v>
      </c>
      <c r="B332" s="7">
        <v>4442</v>
      </c>
      <c r="C332" s="7" t="str">
        <f>"110221000"</f>
        <v>110221000</v>
      </c>
      <c r="D332" s="7" t="s">
        <v>433</v>
      </c>
      <c r="E332" s="7">
        <v>92608</v>
      </c>
      <c r="F332" s="7" t="str">
        <f>"110221012"</f>
        <v>110221012</v>
      </c>
      <c r="G332" s="7" t="s">
        <v>16</v>
      </c>
      <c r="H332" s="7">
        <v>188</v>
      </c>
      <c r="I332" s="11" t="s">
        <v>17</v>
      </c>
    </row>
    <row r="333" spans="1:9" ht="28.5">
      <c r="A333" s="7" t="s">
        <v>432</v>
      </c>
      <c r="B333" s="7">
        <v>4442</v>
      </c>
      <c r="C333" s="7" t="str">
        <f>"110221000"</f>
        <v>110221000</v>
      </c>
      <c r="D333" s="7" t="s">
        <v>434</v>
      </c>
      <c r="E333" s="7">
        <v>5916</v>
      </c>
      <c r="F333" s="7" t="str">
        <f>"110221007"</f>
        <v>110221007</v>
      </c>
      <c r="G333" s="7" t="s">
        <v>16</v>
      </c>
      <c r="H333" s="7">
        <v>711</v>
      </c>
      <c r="I333" s="11">
        <v>0.61</v>
      </c>
    </row>
    <row r="334" spans="1:9" ht="28.5">
      <c r="A334" s="7" t="s">
        <v>432</v>
      </c>
      <c r="B334" s="7">
        <v>4442</v>
      </c>
      <c r="C334" s="7" t="str">
        <f>"110221000"</f>
        <v>110221000</v>
      </c>
      <c r="D334" s="7" t="s">
        <v>435</v>
      </c>
      <c r="E334" s="7">
        <v>5914</v>
      </c>
      <c r="F334" s="7" t="str">
        <f>"110221005"</f>
        <v>110221005</v>
      </c>
      <c r="G334" s="7" t="s">
        <v>16</v>
      </c>
      <c r="H334" s="7">
        <v>649</v>
      </c>
      <c r="I334" s="11">
        <v>0.78</v>
      </c>
    </row>
    <row r="335" spans="1:9" ht="28.5">
      <c r="A335" s="7" t="s">
        <v>432</v>
      </c>
      <c r="B335" s="7">
        <v>4442</v>
      </c>
      <c r="C335" s="7" t="str">
        <f>"110221000"</f>
        <v>110221000</v>
      </c>
      <c r="D335" s="7" t="s">
        <v>436</v>
      </c>
      <c r="E335" s="7">
        <v>89577</v>
      </c>
      <c r="F335" s="7" t="str">
        <f>"110221010"</f>
        <v>110221010</v>
      </c>
      <c r="G335" s="7" t="s">
        <v>16</v>
      </c>
      <c r="H335" s="7">
        <v>574</v>
      </c>
      <c r="I335" s="11">
        <v>0.9</v>
      </c>
    </row>
    <row r="336" spans="1:9" ht="28.5">
      <c r="A336" s="7" t="s">
        <v>432</v>
      </c>
      <c r="B336" s="7">
        <v>4442</v>
      </c>
      <c r="C336" s="7" t="str">
        <f>"110221000"</f>
        <v>110221000</v>
      </c>
      <c r="D336" s="7" t="s">
        <v>437</v>
      </c>
      <c r="E336" s="7">
        <v>5911</v>
      </c>
      <c r="F336" s="7" t="str">
        <f>"110221001"</f>
        <v>110221001</v>
      </c>
      <c r="G336" s="7" t="s">
        <v>16</v>
      </c>
      <c r="H336" s="7">
        <v>618</v>
      </c>
      <c r="I336" s="11">
        <v>0.92</v>
      </c>
    </row>
    <row r="337" spans="1:9" ht="28.5">
      <c r="A337" s="7" t="s">
        <v>438</v>
      </c>
      <c r="B337" s="7">
        <v>79077</v>
      </c>
      <c r="C337" s="7" t="str">
        <f>"078994000"</f>
        <v>078994000</v>
      </c>
      <c r="D337" s="7" t="s">
        <v>439</v>
      </c>
      <c r="E337" s="7">
        <v>79099</v>
      </c>
      <c r="F337" s="7" t="str">
        <f>"078994001"</f>
        <v>078994001</v>
      </c>
      <c r="G337" s="7" t="s">
        <v>16</v>
      </c>
      <c r="H337" s="7">
        <v>144</v>
      </c>
      <c r="I337" s="11">
        <v>0.91</v>
      </c>
    </row>
    <row r="338" spans="1:9" ht="28.5">
      <c r="A338" s="7" t="s">
        <v>440</v>
      </c>
      <c r="B338" s="7">
        <v>79988</v>
      </c>
      <c r="C338" s="7" t="str">
        <f>"078975000"</f>
        <v>078975000</v>
      </c>
      <c r="D338" s="7" t="s">
        <v>441</v>
      </c>
      <c r="E338" s="7">
        <v>79989</v>
      </c>
      <c r="F338" s="7" t="str">
        <f>"078975101"</f>
        <v>078975101</v>
      </c>
      <c r="G338" s="7" t="s">
        <v>16</v>
      </c>
      <c r="H338" s="7">
        <v>258</v>
      </c>
      <c r="I338" s="12">
        <v>0.76</v>
      </c>
    </row>
    <row r="339" spans="1:9" ht="28.5">
      <c r="A339" s="7" t="s">
        <v>442</v>
      </c>
      <c r="B339" s="7">
        <v>6570</v>
      </c>
      <c r="C339" s="7" t="str">
        <f>"014305000"</f>
        <v>014305000</v>
      </c>
      <c r="D339" s="7" t="s">
        <v>442</v>
      </c>
      <c r="E339" s="7">
        <v>6571</v>
      </c>
      <c r="F339" s="7" t="str">
        <f>"014305001"</f>
        <v>014305001</v>
      </c>
      <c r="G339" s="7" t="s">
        <v>16</v>
      </c>
      <c r="H339" s="7">
        <v>125</v>
      </c>
      <c r="I339" s="11" t="s">
        <v>17</v>
      </c>
    </row>
    <row r="340" spans="1:9">
      <c r="A340" s="7" t="s">
        <v>443</v>
      </c>
      <c r="B340" s="7">
        <v>4487</v>
      </c>
      <c r="C340" s="7" t="str">
        <f>"130406000"</f>
        <v>130406000</v>
      </c>
      <c r="D340" s="7" t="s">
        <v>444</v>
      </c>
      <c r="E340" s="7">
        <v>1000158</v>
      </c>
      <c r="F340" s="7" t="str">
        <f>"130406502"</f>
        <v>130406502</v>
      </c>
      <c r="H340" s="7">
        <v>439</v>
      </c>
      <c r="I340" s="11">
        <v>0.82</v>
      </c>
    </row>
    <row r="341" spans="1:9">
      <c r="A341" s="7" t="s">
        <v>443</v>
      </c>
      <c r="B341" s="7">
        <v>4487</v>
      </c>
      <c r="C341" s="7" t="str">
        <f>"130406000"</f>
        <v>130406000</v>
      </c>
      <c r="D341" s="7" t="s">
        <v>445</v>
      </c>
      <c r="E341" s="7">
        <v>6123</v>
      </c>
      <c r="F341" s="7" t="str">
        <f>"130406101"</f>
        <v>130406101</v>
      </c>
      <c r="H341" s="7">
        <v>160</v>
      </c>
      <c r="I341" s="11">
        <v>0.94</v>
      </c>
    </row>
    <row r="342" spans="1:9">
      <c r="A342" s="7" t="s">
        <v>443</v>
      </c>
      <c r="B342" s="7">
        <v>4487</v>
      </c>
      <c r="C342" s="7" t="str">
        <f>"130406000"</f>
        <v>130406000</v>
      </c>
      <c r="D342" s="7" t="s">
        <v>446</v>
      </c>
      <c r="E342" s="7">
        <v>1000161</v>
      </c>
      <c r="F342" s="7" t="str">
        <f>"130406504"</f>
        <v>130406504</v>
      </c>
      <c r="H342" s="7">
        <v>608</v>
      </c>
      <c r="I342" s="11">
        <v>0.78</v>
      </c>
    </row>
    <row r="343" spans="1:9">
      <c r="A343" s="7" t="s">
        <v>443</v>
      </c>
      <c r="B343" s="7">
        <v>4487</v>
      </c>
      <c r="C343" s="7" t="str">
        <f>"130406000"</f>
        <v>130406000</v>
      </c>
      <c r="D343" s="7" t="s">
        <v>447</v>
      </c>
      <c r="E343" s="7">
        <v>90934</v>
      </c>
      <c r="F343" s="7" t="str">
        <f>"130406106"</f>
        <v>130406106</v>
      </c>
      <c r="H343" s="7">
        <v>410</v>
      </c>
      <c r="I343" s="11">
        <v>0.48</v>
      </c>
    </row>
    <row r="344" spans="1:9">
      <c r="A344" s="7" t="s">
        <v>443</v>
      </c>
      <c r="B344" s="7">
        <v>4487</v>
      </c>
      <c r="C344" s="7" t="str">
        <f>"130406000"</f>
        <v>130406000</v>
      </c>
      <c r="D344" s="7" t="s">
        <v>448</v>
      </c>
      <c r="E344" s="7">
        <v>6125</v>
      </c>
      <c r="F344" s="7" t="str">
        <f>"130406103"</f>
        <v>130406103</v>
      </c>
      <c r="H344" s="7">
        <v>261</v>
      </c>
      <c r="I344" s="11">
        <v>0.65</v>
      </c>
    </row>
    <row r="345" spans="1:9" ht="28.5">
      <c r="A345" s="7" t="s">
        <v>449</v>
      </c>
      <c r="B345" s="7">
        <v>90331</v>
      </c>
      <c r="C345" s="7" t="str">
        <f>"108505000"</f>
        <v>108505000</v>
      </c>
      <c r="D345" s="7" t="s">
        <v>450</v>
      </c>
      <c r="E345" s="7">
        <v>87412</v>
      </c>
      <c r="F345" s="7" t="str">
        <f>"108505001"</f>
        <v>108505001</v>
      </c>
      <c r="G345" s="7" t="s">
        <v>16</v>
      </c>
      <c r="H345" s="7">
        <v>85</v>
      </c>
      <c r="I345" s="11" t="s">
        <v>17</v>
      </c>
    </row>
    <row r="346" spans="1:9" ht="28.5">
      <c r="A346" s="7" t="s">
        <v>451</v>
      </c>
      <c r="B346" s="7">
        <v>80032</v>
      </c>
      <c r="C346" s="7" t="str">
        <f>"108793000"</f>
        <v>108793000</v>
      </c>
      <c r="D346" s="7" t="s">
        <v>452</v>
      </c>
      <c r="E346" s="7">
        <v>5466</v>
      </c>
      <c r="F346" s="7" t="str">
        <f>"078608001"</f>
        <v>078608001</v>
      </c>
      <c r="G346" s="7" t="s">
        <v>16</v>
      </c>
      <c r="H346" s="7">
        <v>64</v>
      </c>
      <c r="I346" s="11">
        <v>0.69</v>
      </c>
    </row>
    <row r="347" spans="1:9" ht="28.5">
      <c r="A347" s="7" t="s">
        <v>451</v>
      </c>
      <c r="B347" s="7">
        <v>80032</v>
      </c>
      <c r="C347" s="7" t="str">
        <f>"108793000"</f>
        <v>108793000</v>
      </c>
      <c r="D347" s="7" t="s">
        <v>453</v>
      </c>
      <c r="E347" s="7">
        <v>80033</v>
      </c>
      <c r="F347" s="7" t="str">
        <f>"108793201"</f>
        <v>108793201</v>
      </c>
      <c r="G347" s="7" t="s">
        <v>16</v>
      </c>
      <c r="H347" s="7">
        <v>154</v>
      </c>
      <c r="I347" s="11" t="s">
        <v>17</v>
      </c>
    </row>
    <row r="348" spans="1:9" ht="28.5">
      <c r="A348" s="7" t="s">
        <v>454</v>
      </c>
      <c r="B348" s="7">
        <v>4501</v>
      </c>
      <c r="C348" s="7" t="str">
        <f t="shared" ref="C348:C358" si="15">"140413000"</f>
        <v>140413000</v>
      </c>
      <c r="D348" s="7" t="s">
        <v>455</v>
      </c>
      <c r="E348" s="7">
        <v>78935</v>
      </c>
      <c r="F348" s="7" t="str">
        <f>"140413107"</f>
        <v>140413107</v>
      </c>
      <c r="G348" s="7" t="s">
        <v>16</v>
      </c>
      <c r="H348" s="7">
        <v>678</v>
      </c>
      <c r="I348" s="11">
        <v>0.75</v>
      </c>
    </row>
    <row r="349" spans="1:9" ht="28.5">
      <c r="A349" s="7" t="s">
        <v>454</v>
      </c>
      <c r="B349" s="7">
        <v>4501</v>
      </c>
      <c r="C349" s="7" t="str">
        <f t="shared" si="15"/>
        <v>140413000</v>
      </c>
      <c r="D349" s="7" t="s">
        <v>456</v>
      </c>
      <c r="E349" s="7">
        <v>6172</v>
      </c>
      <c r="F349" s="7" t="str">
        <f>"140413103"</f>
        <v>140413103</v>
      </c>
      <c r="G349" s="7" t="s">
        <v>16</v>
      </c>
      <c r="H349" s="7">
        <v>560</v>
      </c>
      <c r="I349" s="11">
        <v>0.65</v>
      </c>
    </row>
    <row r="350" spans="1:9" ht="28.5">
      <c r="A350" s="7" t="s">
        <v>454</v>
      </c>
      <c r="B350" s="7">
        <v>4501</v>
      </c>
      <c r="C350" s="7" t="str">
        <f t="shared" si="15"/>
        <v>140413000</v>
      </c>
      <c r="D350" s="7" t="s">
        <v>457</v>
      </c>
      <c r="E350" s="7">
        <v>85833</v>
      </c>
      <c r="F350" s="7" t="str">
        <f>"140413108"</f>
        <v>140413108</v>
      </c>
      <c r="G350" s="7" t="s">
        <v>16</v>
      </c>
      <c r="H350" s="7">
        <v>548</v>
      </c>
      <c r="I350" s="11">
        <v>0.83</v>
      </c>
    </row>
    <row r="351" spans="1:9">
      <c r="A351" s="7" t="s">
        <v>454</v>
      </c>
      <c r="B351" s="7">
        <v>4501</v>
      </c>
      <c r="C351" s="7" t="str">
        <f t="shared" si="15"/>
        <v>140413000</v>
      </c>
      <c r="D351" s="7" t="s">
        <v>458</v>
      </c>
      <c r="E351" s="7">
        <v>91908</v>
      </c>
      <c r="F351" s="7" t="str">
        <f>"140413138"</f>
        <v>140413138</v>
      </c>
      <c r="G351" s="7" t="s">
        <v>26</v>
      </c>
      <c r="H351" s="7">
        <v>774</v>
      </c>
      <c r="I351" s="11">
        <v>0.26</v>
      </c>
    </row>
    <row r="352" spans="1:9" ht="28.5">
      <c r="A352" s="7" t="s">
        <v>454</v>
      </c>
      <c r="B352" s="7">
        <v>4501</v>
      </c>
      <c r="C352" s="7" t="str">
        <f t="shared" si="15"/>
        <v>140413000</v>
      </c>
      <c r="D352" s="7" t="s">
        <v>459</v>
      </c>
      <c r="E352" s="7">
        <v>6174</v>
      </c>
      <c r="F352" s="7" t="str">
        <f>"140413105"</f>
        <v>140413105</v>
      </c>
      <c r="G352" s="7" t="s">
        <v>16</v>
      </c>
      <c r="H352" s="7">
        <v>575</v>
      </c>
      <c r="I352" s="11">
        <v>0.68</v>
      </c>
    </row>
    <row r="353" spans="1:9" ht="28.5">
      <c r="A353" s="7" t="s">
        <v>454</v>
      </c>
      <c r="B353" s="7">
        <v>4501</v>
      </c>
      <c r="C353" s="7" t="str">
        <f t="shared" si="15"/>
        <v>140413000</v>
      </c>
      <c r="D353" s="7" t="s">
        <v>460</v>
      </c>
      <c r="E353" s="7">
        <v>175439</v>
      </c>
      <c r="F353" s="7" t="str">
        <f>"072146008"</f>
        <v>072146008</v>
      </c>
      <c r="G353" s="7" t="s">
        <v>16</v>
      </c>
      <c r="H353" s="7">
        <v>35</v>
      </c>
      <c r="I353" s="11">
        <v>0.87</v>
      </c>
    </row>
    <row r="354" spans="1:9" ht="28.5">
      <c r="A354" s="7" t="s">
        <v>454</v>
      </c>
      <c r="B354" s="7">
        <v>4501</v>
      </c>
      <c r="C354" s="7" t="str">
        <f t="shared" si="15"/>
        <v>140413000</v>
      </c>
      <c r="D354" s="7" t="s">
        <v>461</v>
      </c>
      <c r="E354" s="7">
        <v>89582</v>
      </c>
      <c r="F354" s="7" t="str">
        <f>"140413130"</f>
        <v>140413130</v>
      </c>
      <c r="G354" s="7" t="s">
        <v>16</v>
      </c>
      <c r="H354" s="7">
        <v>611</v>
      </c>
      <c r="I354" s="11">
        <v>0.6</v>
      </c>
    </row>
    <row r="355" spans="1:9" ht="28.5">
      <c r="A355" s="7" t="s">
        <v>454</v>
      </c>
      <c r="B355" s="7">
        <v>4501</v>
      </c>
      <c r="C355" s="7" t="str">
        <f t="shared" si="15"/>
        <v>140413000</v>
      </c>
      <c r="D355" s="7" t="s">
        <v>462</v>
      </c>
      <c r="E355" s="7">
        <v>6168</v>
      </c>
      <c r="F355" s="7" t="str">
        <f>"140413101"</f>
        <v>140413101</v>
      </c>
      <c r="G355" s="7" t="s">
        <v>16</v>
      </c>
      <c r="H355" s="7">
        <v>577</v>
      </c>
      <c r="I355" s="11">
        <v>0.8</v>
      </c>
    </row>
    <row r="356" spans="1:9" ht="28.5">
      <c r="A356" s="7" t="s">
        <v>454</v>
      </c>
      <c r="B356" s="7">
        <v>4501</v>
      </c>
      <c r="C356" s="7" t="str">
        <f t="shared" si="15"/>
        <v>140413000</v>
      </c>
      <c r="D356" s="7" t="s">
        <v>463</v>
      </c>
      <c r="E356" s="7">
        <v>6173</v>
      </c>
      <c r="F356" s="7" t="str">
        <f>"140413104"</f>
        <v>140413104</v>
      </c>
      <c r="G356" s="7" t="s">
        <v>16</v>
      </c>
      <c r="H356" s="7">
        <v>498</v>
      </c>
      <c r="I356" s="11">
        <v>0.81</v>
      </c>
    </row>
    <row r="357" spans="1:9" ht="28.5">
      <c r="A357" s="7" t="s">
        <v>454</v>
      </c>
      <c r="B357" s="7">
        <v>4501</v>
      </c>
      <c r="C357" s="7" t="str">
        <f t="shared" si="15"/>
        <v>140413000</v>
      </c>
      <c r="D357" s="7" t="s">
        <v>464</v>
      </c>
      <c r="E357" s="7">
        <v>85834</v>
      </c>
      <c r="F357" s="7" t="str">
        <f>"140413109"</f>
        <v>140413109</v>
      </c>
      <c r="G357" s="7" t="s">
        <v>16</v>
      </c>
      <c r="H357" s="7">
        <v>643</v>
      </c>
      <c r="I357" s="11" t="s">
        <v>17</v>
      </c>
    </row>
    <row r="358" spans="1:9" ht="28.5">
      <c r="A358" s="7" t="s">
        <v>454</v>
      </c>
      <c r="B358" s="7">
        <v>4501</v>
      </c>
      <c r="C358" s="7" t="str">
        <f t="shared" si="15"/>
        <v>140413000</v>
      </c>
      <c r="D358" s="7" t="s">
        <v>465</v>
      </c>
      <c r="E358" s="7">
        <v>6175</v>
      </c>
      <c r="F358" s="7" t="str">
        <f>"140413106"</f>
        <v>140413106</v>
      </c>
      <c r="G358" s="7" t="s">
        <v>16</v>
      </c>
      <c r="H358" s="7">
        <v>482</v>
      </c>
      <c r="I358" s="11">
        <v>0.84</v>
      </c>
    </row>
    <row r="359" spans="1:9">
      <c r="A359" s="7" t="s">
        <v>466</v>
      </c>
      <c r="B359" s="7">
        <v>4263</v>
      </c>
      <c r="C359" s="7" t="str">
        <f t="shared" ref="C359:C367" si="16">"070414000"</f>
        <v>070414000</v>
      </c>
      <c r="D359" s="7" t="s">
        <v>467</v>
      </c>
      <c r="E359" s="7">
        <v>5289</v>
      </c>
      <c r="F359" s="7" t="str">
        <f>"070414180"</f>
        <v>070414180</v>
      </c>
      <c r="H359" s="7">
        <v>537</v>
      </c>
      <c r="I359" s="11">
        <v>0.54</v>
      </c>
    </row>
    <row r="360" spans="1:9">
      <c r="A360" s="7" t="s">
        <v>466</v>
      </c>
      <c r="B360" s="7">
        <v>4263</v>
      </c>
      <c r="C360" s="7" t="str">
        <f t="shared" si="16"/>
        <v>070414000</v>
      </c>
      <c r="D360" s="7" t="s">
        <v>468</v>
      </c>
      <c r="E360" s="7">
        <v>79285</v>
      </c>
      <c r="F360" s="7" t="str">
        <f>"070414190"</f>
        <v>070414190</v>
      </c>
      <c r="H360" s="7">
        <v>527</v>
      </c>
      <c r="I360" s="11">
        <v>0.96</v>
      </c>
    </row>
    <row r="361" spans="1:9">
      <c r="A361" s="7" t="s">
        <v>466</v>
      </c>
      <c r="B361" s="7">
        <v>4263</v>
      </c>
      <c r="C361" s="7" t="str">
        <f t="shared" si="16"/>
        <v>070414000</v>
      </c>
      <c r="D361" s="7" t="s">
        <v>469</v>
      </c>
      <c r="E361" s="7">
        <v>6023</v>
      </c>
      <c r="F361" s="7" t="str">
        <f>"070414120"</f>
        <v>070414120</v>
      </c>
      <c r="H361" s="7">
        <v>584</v>
      </c>
      <c r="I361" s="11">
        <v>0.92</v>
      </c>
    </row>
    <row r="362" spans="1:9">
      <c r="A362" s="7" t="s">
        <v>466</v>
      </c>
      <c r="B362" s="7">
        <v>4263</v>
      </c>
      <c r="C362" s="7" t="str">
        <f t="shared" si="16"/>
        <v>070414000</v>
      </c>
      <c r="D362" s="7" t="s">
        <v>470</v>
      </c>
      <c r="E362" s="7">
        <v>5284</v>
      </c>
      <c r="F362" s="7" t="str">
        <f>"070414130"</f>
        <v>070414130</v>
      </c>
      <c r="H362" s="7">
        <v>336</v>
      </c>
      <c r="I362" s="11">
        <v>0.9</v>
      </c>
    </row>
    <row r="363" spans="1:9">
      <c r="A363" s="7" t="s">
        <v>466</v>
      </c>
      <c r="B363" s="7">
        <v>4263</v>
      </c>
      <c r="C363" s="7" t="str">
        <f t="shared" si="16"/>
        <v>070414000</v>
      </c>
      <c r="D363" s="7" t="s">
        <v>471</v>
      </c>
      <c r="E363" s="7">
        <v>5285</v>
      </c>
      <c r="F363" s="7" t="str">
        <f>"070414140"</f>
        <v>070414140</v>
      </c>
      <c r="H363" s="7">
        <v>472</v>
      </c>
      <c r="I363" s="11">
        <v>0.9</v>
      </c>
    </row>
    <row r="364" spans="1:9">
      <c r="A364" s="7" t="s">
        <v>466</v>
      </c>
      <c r="B364" s="7">
        <v>4263</v>
      </c>
      <c r="C364" s="7" t="str">
        <f t="shared" si="16"/>
        <v>070414000</v>
      </c>
      <c r="D364" s="7" t="s">
        <v>472</v>
      </c>
      <c r="E364" s="7">
        <v>5287</v>
      </c>
      <c r="F364" s="7" t="str">
        <f>"070414160"</f>
        <v>070414160</v>
      </c>
      <c r="H364" s="7">
        <v>767</v>
      </c>
      <c r="I364" s="11">
        <v>0.96</v>
      </c>
    </row>
    <row r="365" spans="1:9">
      <c r="A365" s="7" t="s">
        <v>466</v>
      </c>
      <c r="B365" s="7">
        <v>4263</v>
      </c>
      <c r="C365" s="7" t="str">
        <f t="shared" si="16"/>
        <v>070414000</v>
      </c>
      <c r="D365" s="7" t="s">
        <v>473</v>
      </c>
      <c r="E365" s="7">
        <v>5288</v>
      </c>
      <c r="F365" s="7" t="str">
        <f>"070414170"</f>
        <v>070414170</v>
      </c>
      <c r="H365" s="7">
        <v>846</v>
      </c>
      <c r="I365" s="11">
        <v>0.91</v>
      </c>
    </row>
    <row r="366" spans="1:9">
      <c r="A366" s="7" t="s">
        <v>466</v>
      </c>
      <c r="B366" s="7">
        <v>4263</v>
      </c>
      <c r="C366" s="7" t="str">
        <f t="shared" si="16"/>
        <v>070414000</v>
      </c>
      <c r="D366" s="7" t="s">
        <v>474</v>
      </c>
      <c r="E366" s="7">
        <v>5283</v>
      </c>
      <c r="F366" s="7" t="str">
        <f>"070414110"</f>
        <v>070414110</v>
      </c>
      <c r="H366" s="7">
        <v>454</v>
      </c>
      <c r="I366" s="11">
        <v>0.88</v>
      </c>
    </row>
    <row r="367" spans="1:9" ht="28.5">
      <c r="A367" s="7" t="s">
        <v>466</v>
      </c>
      <c r="B367" s="7">
        <v>4263</v>
      </c>
      <c r="C367" s="7" t="str">
        <f t="shared" si="16"/>
        <v>070414000</v>
      </c>
      <c r="D367" s="7" t="s">
        <v>475</v>
      </c>
      <c r="E367" s="7">
        <v>5286</v>
      </c>
      <c r="F367" s="7" t="str">
        <f>"070414150"</f>
        <v>070414150</v>
      </c>
      <c r="H367" s="7">
        <v>532</v>
      </c>
      <c r="I367" s="11">
        <v>0.95</v>
      </c>
    </row>
    <row r="368" spans="1:9" ht="28.5">
      <c r="A368" s="7" t="s">
        <v>476</v>
      </c>
      <c r="B368" s="7">
        <v>89917</v>
      </c>
      <c r="C368" s="7" t="str">
        <f>"078544000"</f>
        <v>078544000</v>
      </c>
      <c r="D368" s="7" t="s">
        <v>477</v>
      </c>
      <c r="E368" s="7">
        <v>89918</v>
      </c>
      <c r="F368" s="7" t="str">
        <f>"078544101"</f>
        <v>078544101</v>
      </c>
      <c r="H368" s="7">
        <v>611</v>
      </c>
      <c r="I368" s="11">
        <v>0.49</v>
      </c>
    </row>
    <row r="369" spans="1:9" ht="28.5">
      <c r="A369" s="7" t="s">
        <v>478</v>
      </c>
      <c r="B369" s="7">
        <v>79049</v>
      </c>
      <c r="C369" s="7" t="str">
        <f>"108666000"</f>
        <v>108666000</v>
      </c>
      <c r="D369" s="7" t="s">
        <v>479</v>
      </c>
      <c r="E369" s="7">
        <v>79127</v>
      </c>
      <c r="F369" s="7" t="str">
        <f>"108666001"</f>
        <v>108666001</v>
      </c>
      <c r="H369" s="7">
        <v>699</v>
      </c>
      <c r="I369" s="11">
        <v>0.5</v>
      </c>
    </row>
    <row r="370" spans="1:9" ht="28.5">
      <c r="A370" s="7" t="s">
        <v>480</v>
      </c>
      <c r="B370" s="7">
        <v>89914</v>
      </c>
      <c r="C370" s="7" t="str">
        <f>"108502000"</f>
        <v>108502000</v>
      </c>
      <c r="D370" s="7" t="s">
        <v>481</v>
      </c>
      <c r="E370" s="7">
        <v>80974</v>
      </c>
      <c r="F370" s="7" t="str">
        <f>"108502101"</f>
        <v>108502101</v>
      </c>
      <c r="G370" s="7" t="s">
        <v>16</v>
      </c>
      <c r="H370" s="7">
        <v>468</v>
      </c>
      <c r="I370" s="11" t="s">
        <v>17</v>
      </c>
    </row>
    <row r="371" spans="1:9" ht="28.5">
      <c r="A371" s="7" t="s">
        <v>482</v>
      </c>
      <c r="B371" s="7">
        <v>89915</v>
      </c>
      <c r="C371" s="7" t="str">
        <f>"108503000"</f>
        <v>108503000</v>
      </c>
      <c r="D371" s="7" t="s">
        <v>483</v>
      </c>
      <c r="E371" s="7">
        <v>89916</v>
      </c>
      <c r="F371" s="7" t="str">
        <f>"108503101"</f>
        <v>108503101</v>
      </c>
      <c r="H371" s="7">
        <v>481</v>
      </c>
      <c r="I371" s="11">
        <v>0.65</v>
      </c>
    </row>
    <row r="372" spans="1:9" ht="28.5">
      <c r="A372" s="7" t="s">
        <v>484</v>
      </c>
      <c r="B372" s="7">
        <v>90284</v>
      </c>
      <c r="C372" s="7" t="str">
        <f>"108504000"</f>
        <v>108504000</v>
      </c>
      <c r="D372" s="7" t="s">
        <v>485</v>
      </c>
      <c r="E372" s="7">
        <v>90285</v>
      </c>
      <c r="F372" s="7" t="str">
        <f>"108504001"</f>
        <v>108504001</v>
      </c>
      <c r="H372" s="7">
        <v>228</v>
      </c>
      <c r="I372" s="11">
        <v>0.39</v>
      </c>
    </row>
    <row r="373" spans="1:9" ht="28.5">
      <c r="A373" s="7" t="s">
        <v>486</v>
      </c>
      <c r="B373" s="7">
        <v>90541</v>
      </c>
      <c r="C373" s="7" t="str">
        <f>"078577000"</f>
        <v>078577000</v>
      </c>
      <c r="D373" s="7" t="s">
        <v>487</v>
      </c>
      <c r="E373" s="7">
        <v>90639</v>
      </c>
      <c r="F373" s="7" t="str">
        <f>"078577001"</f>
        <v>078577001</v>
      </c>
      <c r="H373" s="7">
        <v>266</v>
      </c>
      <c r="I373" s="11">
        <v>0.49</v>
      </c>
    </row>
    <row r="374" spans="1:9">
      <c r="A374" s="7" t="s">
        <v>488</v>
      </c>
      <c r="B374" s="7">
        <v>4246</v>
      </c>
      <c r="C374" s="7" t="str">
        <f t="shared" ref="C374:C413" si="17">"070297000"</f>
        <v>070297000</v>
      </c>
      <c r="D374" s="7" t="s">
        <v>489</v>
      </c>
      <c r="E374" s="7">
        <v>78922</v>
      </c>
      <c r="F374" s="7" t="str">
        <f>"070297137"</f>
        <v>070297137</v>
      </c>
      <c r="H374" s="7">
        <v>382</v>
      </c>
      <c r="I374" s="12">
        <v>0.24</v>
      </c>
    </row>
    <row r="375" spans="1:9">
      <c r="A375" s="7" t="s">
        <v>488</v>
      </c>
      <c r="B375" s="7">
        <v>4246</v>
      </c>
      <c r="C375" s="7" t="str">
        <f t="shared" si="17"/>
        <v>070297000</v>
      </c>
      <c r="D375" s="7" t="s">
        <v>490</v>
      </c>
      <c r="E375" s="7">
        <v>5154</v>
      </c>
      <c r="F375" s="7" t="str">
        <f>"070297127"</f>
        <v>070297127</v>
      </c>
      <c r="H375" s="7">
        <v>506</v>
      </c>
      <c r="I375" s="11">
        <v>0.54</v>
      </c>
    </row>
    <row r="376" spans="1:9">
      <c r="A376" s="7" t="s">
        <v>488</v>
      </c>
      <c r="B376" s="7">
        <v>4246</v>
      </c>
      <c r="C376" s="7" t="str">
        <f t="shared" si="17"/>
        <v>070297000</v>
      </c>
      <c r="D376" s="7" t="s">
        <v>491</v>
      </c>
      <c r="E376" s="7">
        <v>5162</v>
      </c>
      <c r="F376" s="7" t="str">
        <f>"070297224"</f>
        <v>070297224</v>
      </c>
      <c r="H376" s="7">
        <v>1701</v>
      </c>
      <c r="I376" s="11">
        <v>0.62</v>
      </c>
    </row>
    <row r="377" spans="1:9">
      <c r="A377" s="7" t="s">
        <v>488</v>
      </c>
      <c r="B377" s="7">
        <v>4246</v>
      </c>
      <c r="C377" s="7" t="str">
        <f t="shared" si="17"/>
        <v>070297000</v>
      </c>
      <c r="D377" s="7" t="s">
        <v>492</v>
      </c>
      <c r="E377" s="7">
        <v>85850</v>
      </c>
      <c r="F377" s="7" t="str">
        <f>"070297245"</f>
        <v>070297245</v>
      </c>
      <c r="H377" s="7">
        <v>2370</v>
      </c>
      <c r="I377" s="11">
        <v>0.18</v>
      </c>
    </row>
    <row r="378" spans="1:9">
      <c r="A378" s="7" t="s">
        <v>488</v>
      </c>
      <c r="B378" s="7">
        <v>4246</v>
      </c>
      <c r="C378" s="7" t="str">
        <f t="shared" si="17"/>
        <v>070297000</v>
      </c>
      <c r="D378" s="7" t="s">
        <v>493</v>
      </c>
      <c r="E378" s="7">
        <v>88399</v>
      </c>
      <c r="F378" s="7" t="str">
        <f>"070297148"</f>
        <v>070297148</v>
      </c>
      <c r="H378" s="7">
        <v>780</v>
      </c>
      <c r="I378" s="11">
        <v>0.26</v>
      </c>
    </row>
    <row r="379" spans="1:9">
      <c r="A379" s="7" t="s">
        <v>488</v>
      </c>
      <c r="B379" s="7">
        <v>4246</v>
      </c>
      <c r="C379" s="7" t="str">
        <f t="shared" si="17"/>
        <v>070297000</v>
      </c>
      <c r="D379" s="7" t="s">
        <v>494</v>
      </c>
      <c r="E379" s="7">
        <v>5146</v>
      </c>
      <c r="F379" s="7" t="str">
        <f>"070297115"</f>
        <v>070297115</v>
      </c>
      <c r="H379" s="7">
        <v>611</v>
      </c>
      <c r="I379" s="11">
        <v>0.82</v>
      </c>
    </row>
    <row r="380" spans="1:9">
      <c r="A380" s="7" t="s">
        <v>488</v>
      </c>
      <c r="B380" s="7">
        <v>4246</v>
      </c>
      <c r="C380" s="7" t="str">
        <f t="shared" si="17"/>
        <v>070297000</v>
      </c>
      <c r="D380" s="7" t="s">
        <v>104</v>
      </c>
      <c r="E380" s="7">
        <v>5160</v>
      </c>
      <c r="F380" s="7" t="str">
        <f>"070297134"</f>
        <v>070297134</v>
      </c>
      <c r="H380" s="7">
        <v>611</v>
      </c>
      <c r="I380" s="11">
        <v>0.23</v>
      </c>
    </row>
    <row r="381" spans="1:9">
      <c r="A381" s="7" t="s">
        <v>488</v>
      </c>
      <c r="B381" s="7">
        <v>4246</v>
      </c>
      <c r="C381" s="7" t="str">
        <f t="shared" si="17"/>
        <v>070297000</v>
      </c>
      <c r="D381" s="7" t="s">
        <v>495</v>
      </c>
      <c r="E381" s="7">
        <v>5161</v>
      </c>
      <c r="F381" s="7" t="str">
        <f>"070297219"</f>
        <v>070297219</v>
      </c>
      <c r="H381" s="7">
        <v>1770</v>
      </c>
      <c r="I381" s="11">
        <v>0.49</v>
      </c>
    </row>
    <row r="382" spans="1:9">
      <c r="A382" s="7" t="s">
        <v>488</v>
      </c>
      <c r="B382" s="7">
        <v>4246</v>
      </c>
      <c r="C382" s="7" t="str">
        <f t="shared" si="17"/>
        <v>070297000</v>
      </c>
      <c r="D382" s="7" t="s">
        <v>496</v>
      </c>
      <c r="E382" s="7">
        <v>5142</v>
      </c>
      <c r="F382" s="7" t="str">
        <f>"070297111"</f>
        <v>070297111</v>
      </c>
      <c r="H382" s="7">
        <v>526</v>
      </c>
      <c r="I382" s="11">
        <v>0.73</v>
      </c>
    </row>
    <row r="383" spans="1:9">
      <c r="A383" s="7" t="s">
        <v>488</v>
      </c>
      <c r="B383" s="7">
        <v>4246</v>
      </c>
      <c r="C383" s="7" t="str">
        <f t="shared" si="17"/>
        <v>070297000</v>
      </c>
      <c r="D383" s="7" t="s">
        <v>497</v>
      </c>
      <c r="E383" s="7">
        <v>5159</v>
      </c>
      <c r="F383" s="7" t="str">
        <f>"070297132"</f>
        <v>070297132</v>
      </c>
      <c r="H383" s="7">
        <v>422</v>
      </c>
      <c r="I383" s="11">
        <v>0.34</v>
      </c>
    </row>
    <row r="384" spans="1:9">
      <c r="A384" s="7" t="s">
        <v>488</v>
      </c>
      <c r="B384" s="7">
        <v>4246</v>
      </c>
      <c r="C384" s="7" t="str">
        <f t="shared" si="17"/>
        <v>070297000</v>
      </c>
      <c r="D384" s="7" t="s">
        <v>498</v>
      </c>
      <c r="E384" s="7">
        <v>5156</v>
      </c>
      <c r="F384" s="7" t="str">
        <f>"070297129"</f>
        <v>070297129</v>
      </c>
      <c r="H384" s="7">
        <v>550</v>
      </c>
      <c r="I384" s="11">
        <v>0.32</v>
      </c>
    </row>
    <row r="385" spans="1:9">
      <c r="A385" s="7" t="s">
        <v>488</v>
      </c>
      <c r="B385" s="7">
        <v>4246</v>
      </c>
      <c r="C385" s="7" t="str">
        <f t="shared" si="17"/>
        <v>070297000</v>
      </c>
      <c r="D385" s="7" t="s">
        <v>499</v>
      </c>
      <c r="E385" s="7">
        <v>5150</v>
      </c>
      <c r="F385" s="7" t="str">
        <f>"070297121"</f>
        <v>070297121</v>
      </c>
      <c r="H385" s="7">
        <v>660</v>
      </c>
      <c r="I385" s="11">
        <v>0.6</v>
      </c>
    </row>
    <row r="386" spans="1:9">
      <c r="A386" s="7" t="s">
        <v>488</v>
      </c>
      <c r="B386" s="7">
        <v>4246</v>
      </c>
      <c r="C386" s="7" t="str">
        <f t="shared" si="17"/>
        <v>070297000</v>
      </c>
      <c r="D386" s="7" t="s">
        <v>500</v>
      </c>
      <c r="E386" s="7">
        <v>85851</v>
      </c>
      <c r="F386" s="7" t="str">
        <f>"070297146"</f>
        <v>070297146</v>
      </c>
      <c r="H386" s="7">
        <v>748</v>
      </c>
      <c r="I386" s="11">
        <v>0.24</v>
      </c>
    </row>
    <row r="387" spans="1:9">
      <c r="A387" s="7" t="s">
        <v>488</v>
      </c>
      <c r="B387" s="7">
        <v>4246</v>
      </c>
      <c r="C387" s="7" t="str">
        <f t="shared" si="17"/>
        <v>070297000</v>
      </c>
      <c r="D387" s="7" t="s">
        <v>501</v>
      </c>
      <c r="E387" s="7">
        <v>5157</v>
      </c>
      <c r="F387" s="7" t="str">
        <f>"070297130"</f>
        <v>070297130</v>
      </c>
      <c r="H387" s="7">
        <v>485</v>
      </c>
      <c r="I387" s="11">
        <v>0.74</v>
      </c>
    </row>
    <row r="388" spans="1:9">
      <c r="A388" s="7" t="s">
        <v>488</v>
      </c>
      <c r="B388" s="7">
        <v>4246</v>
      </c>
      <c r="C388" s="7" t="str">
        <f t="shared" si="17"/>
        <v>070297000</v>
      </c>
      <c r="D388" s="7" t="s">
        <v>502</v>
      </c>
      <c r="E388" s="7">
        <v>80318</v>
      </c>
      <c r="F388" s="7" t="str">
        <f>"070297142"</f>
        <v>070297142</v>
      </c>
      <c r="H388" s="7">
        <v>531</v>
      </c>
      <c r="I388" s="11">
        <v>0.18</v>
      </c>
    </row>
    <row r="389" spans="1:9">
      <c r="A389" s="7" t="s">
        <v>488</v>
      </c>
      <c r="B389" s="7">
        <v>4246</v>
      </c>
      <c r="C389" s="7" t="str">
        <f t="shared" si="17"/>
        <v>070297000</v>
      </c>
      <c r="D389" s="7" t="s">
        <v>503</v>
      </c>
      <c r="E389" s="7">
        <v>5152</v>
      </c>
      <c r="F389" s="7" t="str">
        <f>"070297123"</f>
        <v>070297123</v>
      </c>
      <c r="H389" s="7">
        <v>451</v>
      </c>
      <c r="I389" s="11">
        <v>0.53</v>
      </c>
    </row>
    <row r="390" spans="1:9">
      <c r="A390" s="7" t="s">
        <v>488</v>
      </c>
      <c r="B390" s="7">
        <v>4246</v>
      </c>
      <c r="C390" s="7" t="str">
        <f t="shared" si="17"/>
        <v>070297000</v>
      </c>
      <c r="D390" s="7" t="s">
        <v>504</v>
      </c>
      <c r="E390" s="7">
        <v>78921</v>
      </c>
      <c r="F390" s="7" t="str">
        <f>"070297136"</f>
        <v>070297136</v>
      </c>
      <c r="H390" s="7">
        <v>1082</v>
      </c>
      <c r="I390" s="11">
        <v>0.31</v>
      </c>
    </row>
    <row r="391" spans="1:9">
      <c r="A391" s="7" t="s">
        <v>488</v>
      </c>
      <c r="B391" s="7">
        <v>4246</v>
      </c>
      <c r="C391" s="7" t="str">
        <f t="shared" si="17"/>
        <v>070297000</v>
      </c>
      <c r="D391" s="7" t="s">
        <v>505</v>
      </c>
      <c r="E391" s="7">
        <v>5155</v>
      </c>
      <c r="F391" s="7" t="str">
        <f>"070297128"</f>
        <v>070297128</v>
      </c>
      <c r="H391" s="7">
        <v>874</v>
      </c>
      <c r="I391" s="11">
        <v>0.22</v>
      </c>
    </row>
    <row r="392" spans="1:9">
      <c r="A392" s="7" t="s">
        <v>488</v>
      </c>
      <c r="B392" s="7">
        <v>4246</v>
      </c>
      <c r="C392" s="7" t="str">
        <f t="shared" si="17"/>
        <v>070297000</v>
      </c>
      <c r="D392" s="7" t="s">
        <v>506</v>
      </c>
      <c r="E392" s="7">
        <v>1001953</v>
      </c>
      <c r="F392" s="7" t="str">
        <f>"070297152"</f>
        <v>070297152</v>
      </c>
      <c r="H392" s="7">
        <v>683</v>
      </c>
      <c r="I392" s="11">
        <v>0.18</v>
      </c>
    </row>
    <row r="393" spans="1:9">
      <c r="A393" s="7" t="s">
        <v>488</v>
      </c>
      <c r="B393" s="7">
        <v>4246</v>
      </c>
      <c r="C393" s="7" t="str">
        <f t="shared" si="17"/>
        <v>070297000</v>
      </c>
      <c r="D393" s="7" t="s">
        <v>507</v>
      </c>
      <c r="E393" s="7">
        <v>5158</v>
      </c>
      <c r="F393" s="7" t="str">
        <f>"070297131"</f>
        <v>070297131</v>
      </c>
      <c r="H393" s="7">
        <v>431</v>
      </c>
      <c r="I393" s="11">
        <v>0.18</v>
      </c>
    </row>
    <row r="394" spans="1:9">
      <c r="A394" s="7" t="s">
        <v>488</v>
      </c>
      <c r="B394" s="7">
        <v>4246</v>
      </c>
      <c r="C394" s="7" t="str">
        <f t="shared" si="17"/>
        <v>070297000</v>
      </c>
      <c r="D394" s="7" t="s">
        <v>508</v>
      </c>
      <c r="E394" s="7">
        <v>79290</v>
      </c>
      <c r="F394" s="7" t="str">
        <f>"070297138"</f>
        <v>070297138</v>
      </c>
      <c r="H394" s="7">
        <v>666</v>
      </c>
      <c r="I394" s="11">
        <v>0.23</v>
      </c>
    </row>
    <row r="395" spans="1:9">
      <c r="A395" s="7" t="s">
        <v>488</v>
      </c>
      <c r="B395" s="7">
        <v>4246</v>
      </c>
      <c r="C395" s="7" t="str">
        <f t="shared" si="17"/>
        <v>070297000</v>
      </c>
      <c r="D395" s="7" t="s">
        <v>509</v>
      </c>
      <c r="E395" s="7">
        <v>5149</v>
      </c>
      <c r="F395" s="7" t="str">
        <f>"070297120"</f>
        <v>070297120</v>
      </c>
      <c r="H395" s="7">
        <v>512</v>
      </c>
      <c r="I395" s="11">
        <v>0.61</v>
      </c>
    </row>
    <row r="396" spans="1:9">
      <c r="A396" s="7" t="s">
        <v>488</v>
      </c>
      <c r="B396" s="7">
        <v>4246</v>
      </c>
      <c r="C396" s="7" t="str">
        <f t="shared" si="17"/>
        <v>070297000</v>
      </c>
      <c r="D396" s="7" t="s">
        <v>510</v>
      </c>
      <c r="E396" s="7">
        <v>5163</v>
      </c>
      <c r="F396" s="7" t="str">
        <f>"070297233"</f>
        <v>070297233</v>
      </c>
      <c r="H396" s="7">
        <v>2822</v>
      </c>
      <c r="I396" s="11">
        <v>0.15</v>
      </c>
    </row>
    <row r="397" spans="1:9" ht="28.5">
      <c r="A397" s="7" t="s">
        <v>488</v>
      </c>
      <c r="B397" s="7">
        <v>4246</v>
      </c>
      <c r="C397" s="7" t="str">
        <f t="shared" si="17"/>
        <v>070297000</v>
      </c>
      <c r="D397" s="7" t="s">
        <v>511</v>
      </c>
      <c r="E397" s="7">
        <v>5153</v>
      </c>
      <c r="F397" s="7" t="str">
        <f>"070297125"</f>
        <v>070297125</v>
      </c>
      <c r="H397" s="7">
        <v>378</v>
      </c>
      <c r="I397" s="11">
        <v>0.55000000000000004</v>
      </c>
    </row>
    <row r="398" spans="1:9">
      <c r="A398" s="7" t="s">
        <v>488</v>
      </c>
      <c r="B398" s="7">
        <v>4246</v>
      </c>
      <c r="C398" s="7" t="str">
        <f t="shared" si="17"/>
        <v>070297000</v>
      </c>
      <c r="D398" s="7" t="s">
        <v>512</v>
      </c>
      <c r="E398" s="7">
        <v>5144</v>
      </c>
      <c r="F398" s="7" t="str">
        <f>"070297113"</f>
        <v>070297113</v>
      </c>
      <c r="H398" s="7">
        <v>175</v>
      </c>
      <c r="I398" s="11">
        <v>0.57999999999999996</v>
      </c>
    </row>
    <row r="399" spans="1:9">
      <c r="A399" s="7" t="s">
        <v>488</v>
      </c>
      <c r="B399" s="7">
        <v>4246</v>
      </c>
      <c r="C399" s="7" t="str">
        <f t="shared" si="17"/>
        <v>070297000</v>
      </c>
      <c r="D399" s="7" t="s">
        <v>513</v>
      </c>
      <c r="E399" s="7">
        <v>89953</v>
      </c>
      <c r="F399" s="7" t="str">
        <f>"070297149"</f>
        <v>070297149</v>
      </c>
      <c r="H399" s="7">
        <v>562</v>
      </c>
      <c r="I399" s="11">
        <v>0.32</v>
      </c>
    </row>
    <row r="400" spans="1:9">
      <c r="A400" s="7" t="s">
        <v>488</v>
      </c>
      <c r="B400" s="7">
        <v>4246</v>
      </c>
      <c r="C400" s="7" t="str">
        <f t="shared" si="17"/>
        <v>070297000</v>
      </c>
      <c r="D400" s="7" t="s">
        <v>514</v>
      </c>
      <c r="E400" s="7">
        <v>5145</v>
      </c>
      <c r="F400" s="7" t="str">
        <f>"070297114"</f>
        <v>070297114</v>
      </c>
      <c r="H400" s="7">
        <v>545</v>
      </c>
      <c r="I400" s="11">
        <v>0.6</v>
      </c>
    </row>
    <row r="401" spans="1:9">
      <c r="A401" s="7" t="s">
        <v>488</v>
      </c>
      <c r="B401" s="7">
        <v>4246</v>
      </c>
      <c r="C401" s="7" t="str">
        <f t="shared" si="17"/>
        <v>070297000</v>
      </c>
      <c r="D401" s="7" t="s">
        <v>515</v>
      </c>
      <c r="E401" s="7">
        <v>6016</v>
      </c>
      <c r="F401" s="7" t="str">
        <f>"070297135"</f>
        <v>070297135</v>
      </c>
      <c r="H401" s="7">
        <v>759</v>
      </c>
      <c r="I401" s="11">
        <v>0.7</v>
      </c>
    </row>
    <row r="402" spans="1:9">
      <c r="A402" s="7" t="s">
        <v>488</v>
      </c>
      <c r="B402" s="7">
        <v>4246</v>
      </c>
      <c r="C402" s="7" t="str">
        <f t="shared" si="17"/>
        <v>070297000</v>
      </c>
      <c r="D402" s="7" t="s">
        <v>516</v>
      </c>
      <c r="E402" s="7">
        <v>80317</v>
      </c>
      <c r="F402" s="7" t="str">
        <f>"070297241"</f>
        <v>070297241</v>
      </c>
      <c r="H402" s="7">
        <v>2638</v>
      </c>
      <c r="I402" s="11">
        <v>0.18</v>
      </c>
    </row>
    <row r="403" spans="1:9">
      <c r="A403" s="7" t="s">
        <v>488</v>
      </c>
      <c r="B403" s="7">
        <v>4246</v>
      </c>
      <c r="C403" s="7" t="str">
        <f t="shared" si="17"/>
        <v>070297000</v>
      </c>
      <c r="D403" s="7" t="s">
        <v>517</v>
      </c>
      <c r="E403" s="7">
        <v>79574</v>
      </c>
      <c r="F403" s="7" t="str">
        <f>"070297139"</f>
        <v>070297139</v>
      </c>
      <c r="H403" s="7">
        <v>976</v>
      </c>
      <c r="I403" s="11">
        <v>0.24</v>
      </c>
    </row>
    <row r="404" spans="1:9">
      <c r="A404" s="7" t="s">
        <v>488</v>
      </c>
      <c r="B404" s="7">
        <v>4246</v>
      </c>
      <c r="C404" s="7" t="str">
        <f t="shared" si="17"/>
        <v>070297000</v>
      </c>
      <c r="D404" s="7" t="s">
        <v>518</v>
      </c>
      <c r="E404" s="7">
        <v>92907</v>
      </c>
      <c r="F404" s="7" t="str">
        <f>"070297150"</f>
        <v>070297150</v>
      </c>
      <c r="H404" s="7">
        <v>952</v>
      </c>
      <c r="I404" s="11">
        <v>0.18</v>
      </c>
    </row>
    <row r="405" spans="1:9">
      <c r="A405" s="7" t="s">
        <v>488</v>
      </c>
      <c r="B405" s="7">
        <v>4246</v>
      </c>
      <c r="C405" s="7" t="str">
        <f t="shared" si="17"/>
        <v>070297000</v>
      </c>
      <c r="D405" s="7" t="s">
        <v>519</v>
      </c>
      <c r="E405" s="7">
        <v>79573</v>
      </c>
      <c r="F405" s="7" t="str">
        <f>"070297140"</f>
        <v>070297140</v>
      </c>
      <c r="H405" s="7">
        <v>917</v>
      </c>
      <c r="I405" s="11">
        <v>0.19</v>
      </c>
    </row>
    <row r="406" spans="1:9">
      <c r="A406" s="7" t="s">
        <v>488</v>
      </c>
      <c r="B406" s="7">
        <v>4246</v>
      </c>
      <c r="C406" s="7" t="str">
        <f t="shared" si="17"/>
        <v>070297000</v>
      </c>
      <c r="D406" s="7" t="s">
        <v>520</v>
      </c>
      <c r="E406" s="7">
        <v>5147</v>
      </c>
      <c r="F406" s="7" t="str">
        <f>"070297117"</f>
        <v>070297117</v>
      </c>
      <c r="H406" s="7">
        <v>476</v>
      </c>
      <c r="I406" s="11">
        <v>0.76</v>
      </c>
    </row>
    <row r="407" spans="1:9">
      <c r="A407" s="7" t="s">
        <v>488</v>
      </c>
      <c r="B407" s="7">
        <v>4246</v>
      </c>
      <c r="C407" s="7" t="str">
        <f t="shared" si="17"/>
        <v>070297000</v>
      </c>
      <c r="D407" s="7" t="s">
        <v>521</v>
      </c>
      <c r="E407" s="7">
        <v>81017</v>
      </c>
      <c r="F407" s="7" t="str">
        <f>"070297144"</f>
        <v>070297144</v>
      </c>
      <c r="H407" s="7">
        <v>538</v>
      </c>
      <c r="I407" s="11">
        <v>0.28999999999999998</v>
      </c>
    </row>
    <row r="408" spans="1:9">
      <c r="A408" s="7" t="s">
        <v>488</v>
      </c>
      <c r="B408" s="7">
        <v>4246</v>
      </c>
      <c r="C408" s="7" t="str">
        <f t="shared" si="17"/>
        <v>070297000</v>
      </c>
      <c r="D408" s="7" t="s">
        <v>522</v>
      </c>
      <c r="E408" s="7">
        <v>81016</v>
      </c>
      <c r="F408" s="7" t="str">
        <f>"070297143"</f>
        <v>070297143</v>
      </c>
      <c r="H408" s="7">
        <v>953</v>
      </c>
      <c r="I408" s="11">
        <v>0.18</v>
      </c>
    </row>
    <row r="409" spans="1:9">
      <c r="A409" s="7" t="s">
        <v>488</v>
      </c>
      <c r="B409" s="7">
        <v>4246</v>
      </c>
      <c r="C409" s="7" t="str">
        <f t="shared" si="17"/>
        <v>070297000</v>
      </c>
      <c r="D409" s="7" t="s">
        <v>523</v>
      </c>
      <c r="E409" s="7">
        <v>5151</v>
      </c>
      <c r="F409" s="7" t="str">
        <f>"070297122"</f>
        <v>070297122</v>
      </c>
      <c r="H409" s="7">
        <v>225</v>
      </c>
      <c r="I409" s="11">
        <v>0.52</v>
      </c>
    </row>
    <row r="410" spans="1:9">
      <c r="A410" s="7" t="s">
        <v>488</v>
      </c>
      <c r="B410" s="7">
        <v>4246</v>
      </c>
      <c r="C410" s="7" t="str">
        <f t="shared" si="17"/>
        <v>070297000</v>
      </c>
      <c r="D410" s="7" t="s">
        <v>524</v>
      </c>
      <c r="E410" s="7">
        <v>1001159</v>
      </c>
      <c r="F410" s="7" t="str">
        <f>"070297151"</f>
        <v>070297151</v>
      </c>
      <c r="H410" s="7">
        <v>774</v>
      </c>
      <c r="I410" s="11">
        <v>0.2</v>
      </c>
    </row>
    <row r="411" spans="1:9" ht="28.5">
      <c r="A411" s="7" t="s">
        <v>488</v>
      </c>
      <c r="B411" s="7">
        <v>4246</v>
      </c>
      <c r="C411" s="7" t="str">
        <f t="shared" si="17"/>
        <v>070297000</v>
      </c>
      <c r="D411" s="7" t="s">
        <v>525</v>
      </c>
      <c r="E411" s="7">
        <v>5143</v>
      </c>
      <c r="F411" s="7" t="str">
        <f>"070297112"</f>
        <v>070297112</v>
      </c>
      <c r="H411" s="7">
        <v>455</v>
      </c>
      <c r="I411" s="11">
        <v>0.85</v>
      </c>
    </row>
    <row r="412" spans="1:9">
      <c r="A412" s="7" t="s">
        <v>488</v>
      </c>
      <c r="B412" s="7">
        <v>4246</v>
      </c>
      <c r="C412" s="7" t="str">
        <f t="shared" si="17"/>
        <v>070297000</v>
      </c>
      <c r="D412" s="7" t="s">
        <v>526</v>
      </c>
      <c r="E412" s="7">
        <v>92525</v>
      </c>
      <c r="F412" s="7" t="str">
        <f>"070297126"</f>
        <v>070297126</v>
      </c>
      <c r="H412" s="7">
        <v>75</v>
      </c>
      <c r="I412" s="11">
        <v>0.65</v>
      </c>
    </row>
    <row r="413" spans="1:9">
      <c r="A413" s="7" t="s">
        <v>488</v>
      </c>
      <c r="B413" s="7">
        <v>4246</v>
      </c>
      <c r="C413" s="7" t="str">
        <f t="shared" si="17"/>
        <v>070297000</v>
      </c>
      <c r="D413" s="7" t="s">
        <v>527</v>
      </c>
      <c r="E413" s="7">
        <v>87528</v>
      </c>
      <c r="F413" s="7" t="str">
        <f>"070297147"</f>
        <v>070297147</v>
      </c>
      <c r="H413" s="7">
        <v>1011</v>
      </c>
      <c r="I413" s="11">
        <v>0.18</v>
      </c>
    </row>
    <row r="414" spans="1:9" ht="28.5">
      <c r="A414" s="7" t="s">
        <v>528</v>
      </c>
      <c r="B414" s="7">
        <v>9693</v>
      </c>
      <c r="C414" s="7" t="str">
        <f>"094003000"</f>
        <v>094003000</v>
      </c>
      <c r="D414" s="7" t="s">
        <v>528</v>
      </c>
      <c r="E414" s="7">
        <v>80377</v>
      </c>
      <c r="F414" s="7" t="str">
        <f>"014005011"</f>
        <v>014005011</v>
      </c>
      <c r="G414" s="7" t="s">
        <v>16</v>
      </c>
      <c r="H414" s="7">
        <v>125</v>
      </c>
      <c r="I414" s="11" t="s">
        <v>17</v>
      </c>
    </row>
    <row r="415" spans="1:9">
      <c r="A415" s="7" t="s">
        <v>529</v>
      </c>
      <c r="B415" s="7">
        <v>81099</v>
      </c>
      <c r="C415" s="7" t="str">
        <f>"078621000"</f>
        <v>078621000</v>
      </c>
      <c r="D415" s="7" t="s">
        <v>530</v>
      </c>
      <c r="E415" s="7">
        <v>78950</v>
      </c>
      <c r="F415" s="7" t="str">
        <f>"078621101"</f>
        <v>078621101</v>
      </c>
      <c r="H415" s="7">
        <v>890</v>
      </c>
      <c r="I415" s="11">
        <v>0.39</v>
      </c>
    </row>
    <row r="416" spans="1:9">
      <c r="A416" s="7" t="s">
        <v>531</v>
      </c>
      <c r="B416" s="7">
        <v>1001917</v>
      </c>
      <c r="C416" s="7" t="str">
        <f>"108668000"</f>
        <v>108668000</v>
      </c>
      <c r="D416" s="7" t="s">
        <v>532</v>
      </c>
      <c r="E416" s="7">
        <v>1001926</v>
      </c>
      <c r="F416" s="7" t="str">
        <f>"108668201"</f>
        <v>108668201</v>
      </c>
      <c r="H416" s="7">
        <v>47</v>
      </c>
      <c r="I416" s="11">
        <v>0.81</v>
      </c>
    </row>
    <row r="417" spans="1:9">
      <c r="A417" s="7" t="s">
        <v>533</v>
      </c>
      <c r="B417" s="7">
        <v>88308</v>
      </c>
      <c r="C417" s="7" t="str">
        <f>"108732000"</f>
        <v>108732000</v>
      </c>
      <c r="D417" s="7" t="s">
        <v>534</v>
      </c>
      <c r="E417" s="7">
        <v>88309</v>
      </c>
      <c r="F417" s="7" t="str">
        <f>"108732101"</f>
        <v>108732101</v>
      </c>
      <c r="H417" s="7">
        <v>43</v>
      </c>
      <c r="I417" s="11">
        <v>0.79</v>
      </c>
    </row>
    <row r="418" spans="1:9">
      <c r="A418" s="7" t="s">
        <v>535</v>
      </c>
      <c r="B418" s="7">
        <v>6258</v>
      </c>
      <c r="C418" s="7" t="str">
        <f>"048701000"</f>
        <v>048701000</v>
      </c>
      <c r="D418" s="7" t="s">
        <v>536</v>
      </c>
      <c r="E418" s="7">
        <v>10807</v>
      </c>
      <c r="F418" s="7" t="str">
        <f>"048701001"</f>
        <v>048701001</v>
      </c>
      <c r="H418" s="7">
        <v>353</v>
      </c>
      <c r="I418" s="11">
        <v>0.69</v>
      </c>
    </row>
    <row r="419" spans="1:9" ht="28.5">
      <c r="A419" s="7" t="s">
        <v>537</v>
      </c>
      <c r="B419" s="7">
        <v>7295</v>
      </c>
      <c r="C419" s="7" t="str">
        <f>"072102000"</f>
        <v>072102000</v>
      </c>
      <c r="D419" s="7" t="s">
        <v>538</v>
      </c>
      <c r="E419" s="7">
        <v>7296</v>
      </c>
      <c r="F419" s="7" t="str">
        <f>"072102001"</f>
        <v>072102001</v>
      </c>
      <c r="H419" s="7">
        <v>64</v>
      </c>
      <c r="I419" s="11" t="s">
        <v>17</v>
      </c>
    </row>
    <row r="420" spans="1:9" ht="28.5">
      <c r="A420" s="7" t="s">
        <v>539</v>
      </c>
      <c r="B420" s="7">
        <v>80274</v>
      </c>
      <c r="C420" s="7" t="str">
        <f>"094016000"</f>
        <v>094016000</v>
      </c>
      <c r="D420" s="7" t="s">
        <v>539</v>
      </c>
      <c r="E420" s="7">
        <v>80275</v>
      </c>
      <c r="F420" s="7" t="str">
        <f>"033904013"</f>
        <v>033904013</v>
      </c>
      <c r="G420" s="7" t="s">
        <v>16</v>
      </c>
      <c r="H420" s="7">
        <v>190</v>
      </c>
      <c r="I420" s="11" t="s">
        <v>17</v>
      </c>
    </row>
    <row r="421" spans="1:9">
      <c r="A421" s="7" t="s">
        <v>540</v>
      </c>
      <c r="B421" s="7">
        <v>6357</v>
      </c>
      <c r="C421" s="7" t="str">
        <f>"058703000"</f>
        <v>058703000</v>
      </c>
      <c r="D421" s="7" t="s">
        <v>540</v>
      </c>
      <c r="E421" s="7">
        <v>4898</v>
      </c>
      <c r="F421" s="7" t="str">
        <f>"058703001"</f>
        <v>058703001</v>
      </c>
      <c r="H421" s="7">
        <v>112</v>
      </c>
      <c r="I421" s="11">
        <v>0.28000000000000003</v>
      </c>
    </row>
    <row r="422" spans="1:9" ht="28.5">
      <c r="A422" s="7" t="s">
        <v>541</v>
      </c>
      <c r="B422" s="7">
        <v>4174</v>
      </c>
      <c r="C422" s="7" t="str">
        <f t="shared" ref="C422:C429" si="18">"020227000"</f>
        <v>020227000</v>
      </c>
      <c r="D422" s="7" t="s">
        <v>542</v>
      </c>
      <c r="E422" s="7">
        <v>4765</v>
      </c>
      <c r="F422" s="7" t="str">
        <f>"020227102"</f>
        <v>020227102</v>
      </c>
      <c r="G422" s="7" t="s">
        <v>16</v>
      </c>
      <c r="H422" s="7">
        <v>334</v>
      </c>
      <c r="I422" s="11">
        <v>0.78</v>
      </c>
    </row>
    <row r="423" spans="1:9">
      <c r="A423" s="7" t="s">
        <v>541</v>
      </c>
      <c r="B423" s="7">
        <v>4174</v>
      </c>
      <c r="C423" s="7" t="str">
        <f t="shared" si="18"/>
        <v>020227000</v>
      </c>
      <c r="D423" s="7" t="s">
        <v>543</v>
      </c>
      <c r="E423" s="7">
        <v>4773</v>
      </c>
      <c r="F423" s="7" t="str">
        <f>"020227210"</f>
        <v>020227210</v>
      </c>
      <c r="G423" s="7" t="s">
        <v>26</v>
      </c>
      <c r="H423" s="7">
        <v>1368</v>
      </c>
      <c r="I423" s="11">
        <v>0.82</v>
      </c>
    </row>
    <row r="424" spans="1:9" ht="28.5">
      <c r="A424" s="7" t="s">
        <v>541</v>
      </c>
      <c r="B424" s="7">
        <v>4174</v>
      </c>
      <c r="C424" s="7" t="str">
        <f t="shared" si="18"/>
        <v>020227000</v>
      </c>
      <c r="D424" s="7" t="s">
        <v>544</v>
      </c>
      <c r="E424" s="7">
        <v>4767</v>
      </c>
      <c r="F424" s="7" t="str">
        <f>"020227105"</f>
        <v>020227105</v>
      </c>
      <c r="G424" s="7" t="s">
        <v>16</v>
      </c>
      <c r="H424" s="7">
        <v>140</v>
      </c>
      <c r="I424" s="11" t="s">
        <v>17</v>
      </c>
    </row>
    <row r="425" spans="1:9" ht="28.5">
      <c r="A425" s="7" t="s">
        <v>541</v>
      </c>
      <c r="B425" s="7">
        <v>4174</v>
      </c>
      <c r="C425" s="7" t="str">
        <f t="shared" si="18"/>
        <v>020227000</v>
      </c>
      <c r="D425" s="7" t="s">
        <v>545</v>
      </c>
      <c r="E425" s="7">
        <v>4766</v>
      </c>
      <c r="F425" s="7" t="str">
        <f>"020227104"</f>
        <v>020227104</v>
      </c>
      <c r="G425" s="7" t="s">
        <v>16</v>
      </c>
      <c r="H425" s="7">
        <v>433</v>
      </c>
      <c r="I425" s="11" t="s">
        <v>17</v>
      </c>
    </row>
    <row r="426" spans="1:9" ht="28.5">
      <c r="A426" s="7" t="s">
        <v>541</v>
      </c>
      <c r="B426" s="7">
        <v>4174</v>
      </c>
      <c r="C426" s="7" t="str">
        <f t="shared" si="18"/>
        <v>020227000</v>
      </c>
      <c r="D426" s="7" t="s">
        <v>546</v>
      </c>
      <c r="E426" s="7">
        <v>4771</v>
      </c>
      <c r="F426" s="7" t="str">
        <f>"020227109"</f>
        <v>020227109</v>
      </c>
      <c r="G426" s="7" t="s">
        <v>16</v>
      </c>
      <c r="H426" s="7">
        <v>401</v>
      </c>
      <c r="I426" s="11">
        <v>0.7</v>
      </c>
    </row>
    <row r="427" spans="1:9" ht="28.5">
      <c r="A427" s="7" t="s">
        <v>541</v>
      </c>
      <c r="B427" s="7">
        <v>4174</v>
      </c>
      <c r="C427" s="7" t="str">
        <f t="shared" si="18"/>
        <v>020227000</v>
      </c>
      <c r="D427" s="7" t="s">
        <v>547</v>
      </c>
      <c r="E427" s="7">
        <v>4770</v>
      </c>
      <c r="F427" s="7" t="str">
        <f>"020227108"</f>
        <v>020227108</v>
      </c>
      <c r="G427" s="7" t="s">
        <v>16</v>
      </c>
      <c r="H427" s="7">
        <v>378</v>
      </c>
      <c r="I427" s="11" t="s">
        <v>17</v>
      </c>
    </row>
    <row r="428" spans="1:9" ht="28.5">
      <c r="A428" s="7" t="s">
        <v>541</v>
      </c>
      <c r="B428" s="7">
        <v>4174</v>
      </c>
      <c r="C428" s="7" t="str">
        <f t="shared" si="18"/>
        <v>020227000</v>
      </c>
      <c r="D428" s="7" t="s">
        <v>548</v>
      </c>
      <c r="E428" s="7">
        <v>4768</v>
      </c>
      <c r="F428" s="7" t="str">
        <f>"020227106"</f>
        <v>020227106</v>
      </c>
      <c r="G428" s="7" t="s">
        <v>16</v>
      </c>
      <c r="H428" s="7">
        <v>327</v>
      </c>
      <c r="I428" s="11" t="s">
        <v>17</v>
      </c>
    </row>
    <row r="429" spans="1:9" ht="28.5">
      <c r="A429" s="7" t="s">
        <v>541</v>
      </c>
      <c r="B429" s="7">
        <v>4174</v>
      </c>
      <c r="C429" s="7" t="str">
        <f t="shared" si="18"/>
        <v>020227000</v>
      </c>
      <c r="D429" s="7" t="s">
        <v>549</v>
      </c>
      <c r="E429" s="7">
        <v>4769</v>
      </c>
      <c r="F429" s="7" t="str">
        <f>"020227107"</f>
        <v>020227107</v>
      </c>
      <c r="G429" s="7" t="s">
        <v>16</v>
      </c>
      <c r="H429" s="7">
        <v>395</v>
      </c>
      <c r="I429" s="11">
        <v>0.71</v>
      </c>
    </row>
    <row r="430" spans="1:9">
      <c r="A430" s="7" t="s">
        <v>550</v>
      </c>
      <c r="B430" s="7">
        <v>4228</v>
      </c>
      <c r="C430" s="7" t="str">
        <f>"060202000"</f>
        <v>060202000</v>
      </c>
      <c r="D430" s="7" t="s">
        <v>551</v>
      </c>
      <c r="E430" s="7">
        <v>4902</v>
      </c>
      <c r="F430" s="7" t="str">
        <f>"060202102"</f>
        <v>060202102</v>
      </c>
      <c r="H430" s="7">
        <v>222</v>
      </c>
      <c r="I430" s="11">
        <v>0.59</v>
      </c>
    </row>
    <row r="431" spans="1:9">
      <c r="A431" s="7" t="s">
        <v>550</v>
      </c>
      <c r="B431" s="7">
        <v>4228</v>
      </c>
      <c r="C431" s="7" t="str">
        <f>"060202000"</f>
        <v>060202000</v>
      </c>
      <c r="D431" s="7" t="s">
        <v>552</v>
      </c>
      <c r="E431" s="7">
        <v>4903</v>
      </c>
      <c r="F431" s="7" t="str">
        <f>"060202203"</f>
        <v>060202203</v>
      </c>
      <c r="H431" s="7">
        <v>109</v>
      </c>
      <c r="I431" s="11">
        <v>0.59</v>
      </c>
    </row>
    <row r="432" spans="1:9">
      <c r="A432" s="7" t="s">
        <v>553</v>
      </c>
      <c r="B432" s="7">
        <v>4243</v>
      </c>
      <c r="C432" s="7" t="str">
        <f t="shared" ref="C432:C455" si="19">"070289000"</f>
        <v>070289000</v>
      </c>
      <c r="D432" s="7" t="s">
        <v>554</v>
      </c>
      <c r="E432" s="7">
        <v>1000163</v>
      </c>
      <c r="F432" s="7" t="str">
        <f>"070289107"</f>
        <v>070289107</v>
      </c>
      <c r="H432" s="7">
        <v>1149</v>
      </c>
      <c r="I432" s="11">
        <v>0.37</v>
      </c>
    </row>
    <row r="433" spans="1:9">
      <c r="A433" s="7" t="s">
        <v>553</v>
      </c>
      <c r="B433" s="7">
        <v>4243</v>
      </c>
      <c r="C433" s="7" t="str">
        <f t="shared" si="19"/>
        <v>070289000</v>
      </c>
      <c r="D433" s="7" t="s">
        <v>555</v>
      </c>
      <c r="E433" s="7">
        <v>81111</v>
      </c>
      <c r="F433" s="7" t="str">
        <f>"070289111"</f>
        <v>070289111</v>
      </c>
      <c r="H433" s="7">
        <v>487</v>
      </c>
      <c r="I433" s="11">
        <v>0.59</v>
      </c>
    </row>
    <row r="434" spans="1:9">
      <c r="A434" s="7" t="s">
        <v>553</v>
      </c>
      <c r="B434" s="7">
        <v>4243</v>
      </c>
      <c r="C434" s="7" t="str">
        <f t="shared" si="19"/>
        <v>070289000</v>
      </c>
      <c r="D434" s="7" t="s">
        <v>556</v>
      </c>
      <c r="E434" s="7">
        <v>89600</v>
      </c>
      <c r="F434" s="7" t="str">
        <f>"070289124"</f>
        <v>070289124</v>
      </c>
      <c r="H434" s="7">
        <v>983</v>
      </c>
      <c r="I434" s="11">
        <v>0.42</v>
      </c>
    </row>
    <row r="435" spans="1:9">
      <c r="A435" s="7" t="s">
        <v>553</v>
      </c>
      <c r="B435" s="7">
        <v>4243</v>
      </c>
      <c r="C435" s="7" t="str">
        <f t="shared" si="19"/>
        <v>070289000</v>
      </c>
      <c r="D435" s="7" t="s">
        <v>557</v>
      </c>
      <c r="E435" s="7">
        <v>81112</v>
      </c>
      <c r="F435" s="7" t="str">
        <f>"070289112"</f>
        <v>070289112</v>
      </c>
      <c r="H435" s="7">
        <v>569</v>
      </c>
      <c r="I435" s="11">
        <v>0.43</v>
      </c>
    </row>
    <row r="436" spans="1:9">
      <c r="A436" s="7" t="s">
        <v>553</v>
      </c>
      <c r="B436" s="7">
        <v>4243</v>
      </c>
      <c r="C436" s="7" t="str">
        <f t="shared" si="19"/>
        <v>070289000</v>
      </c>
      <c r="D436" s="7" t="s">
        <v>558</v>
      </c>
      <c r="E436" s="7">
        <v>80052</v>
      </c>
      <c r="F436" s="7" t="str">
        <f>"070289109"</f>
        <v>070289109</v>
      </c>
      <c r="H436" s="7">
        <v>577</v>
      </c>
      <c r="I436" s="11">
        <v>0.62</v>
      </c>
    </row>
    <row r="437" spans="1:9">
      <c r="A437" s="7" t="s">
        <v>553</v>
      </c>
      <c r="B437" s="7">
        <v>4243</v>
      </c>
      <c r="C437" s="7" t="str">
        <f t="shared" si="19"/>
        <v>070289000</v>
      </c>
      <c r="D437" s="7" t="s">
        <v>559</v>
      </c>
      <c r="E437" s="7">
        <v>5133</v>
      </c>
      <c r="F437" s="7" t="str">
        <f>"070289205"</f>
        <v>070289205</v>
      </c>
      <c r="H437" s="7">
        <v>1445</v>
      </c>
      <c r="I437" s="11">
        <v>0.68</v>
      </c>
    </row>
    <row r="438" spans="1:9">
      <c r="A438" s="7" t="s">
        <v>553</v>
      </c>
      <c r="B438" s="7">
        <v>4243</v>
      </c>
      <c r="C438" s="7" t="str">
        <f t="shared" si="19"/>
        <v>070289000</v>
      </c>
      <c r="D438" s="7" t="s">
        <v>560</v>
      </c>
      <c r="E438" s="7">
        <v>5128</v>
      </c>
      <c r="F438" s="7" t="str">
        <f>"070289101"</f>
        <v>070289101</v>
      </c>
      <c r="H438" s="7">
        <v>627</v>
      </c>
      <c r="I438" s="11">
        <v>0.76</v>
      </c>
    </row>
    <row r="439" spans="1:9">
      <c r="A439" s="7" t="s">
        <v>553</v>
      </c>
      <c r="B439" s="7">
        <v>4243</v>
      </c>
      <c r="C439" s="7" t="str">
        <f t="shared" si="19"/>
        <v>070289000</v>
      </c>
      <c r="D439" s="7" t="s">
        <v>561</v>
      </c>
      <c r="E439" s="7">
        <v>5129</v>
      </c>
      <c r="F439" s="7" t="str">
        <f>"070289102"</f>
        <v>070289102</v>
      </c>
      <c r="G439" s="7" t="s">
        <v>26</v>
      </c>
      <c r="H439" s="7">
        <v>742</v>
      </c>
      <c r="I439" s="11">
        <v>0.8</v>
      </c>
    </row>
    <row r="440" spans="1:9">
      <c r="A440" s="7" t="s">
        <v>553</v>
      </c>
      <c r="B440" s="7">
        <v>4243</v>
      </c>
      <c r="C440" s="7" t="str">
        <f t="shared" si="19"/>
        <v>070289000</v>
      </c>
      <c r="D440" s="7" t="s">
        <v>562</v>
      </c>
      <c r="E440" s="7">
        <v>1000162</v>
      </c>
      <c r="F440" s="7" t="str">
        <f>"070289105"</f>
        <v>070289105</v>
      </c>
      <c r="H440" s="7">
        <v>476</v>
      </c>
      <c r="I440" s="11">
        <v>0.39</v>
      </c>
    </row>
    <row r="441" spans="1:9">
      <c r="A441" s="7" t="s">
        <v>553</v>
      </c>
      <c r="B441" s="7">
        <v>4243</v>
      </c>
      <c r="C441" s="7" t="str">
        <f t="shared" si="19"/>
        <v>070289000</v>
      </c>
      <c r="D441" s="7" t="s">
        <v>563</v>
      </c>
      <c r="E441" s="7">
        <v>5132</v>
      </c>
      <c r="F441" s="7" t="str">
        <f>"070289106"</f>
        <v>070289106</v>
      </c>
      <c r="H441" s="7">
        <v>817</v>
      </c>
      <c r="I441" s="11">
        <v>0.67</v>
      </c>
    </row>
    <row r="442" spans="1:9">
      <c r="A442" s="7" t="s">
        <v>553</v>
      </c>
      <c r="B442" s="7">
        <v>4243</v>
      </c>
      <c r="C442" s="7" t="str">
        <f t="shared" si="19"/>
        <v>070289000</v>
      </c>
      <c r="D442" s="7" t="s">
        <v>564</v>
      </c>
      <c r="E442" s="7">
        <v>5130</v>
      </c>
      <c r="F442" s="7" t="str">
        <f>"070289103"</f>
        <v>070289103</v>
      </c>
      <c r="H442" s="7">
        <v>629</v>
      </c>
      <c r="I442" s="11">
        <v>0.63</v>
      </c>
    </row>
    <row r="443" spans="1:9">
      <c r="A443" s="7" t="s">
        <v>553</v>
      </c>
      <c r="B443" s="7">
        <v>4243</v>
      </c>
      <c r="C443" s="7" t="str">
        <f t="shared" si="19"/>
        <v>070289000</v>
      </c>
      <c r="D443" s="7" t="s">
        <v>565</v>
      </c>
      <c r="E443" s="7">
        <v>84683</v>
      </c>
      <c r="F443" s="7" t="str">
        <f>"070289116"</f>
        <v>070289116</v>
      </c>
      <c r="H443" s="7">
        <v>1113</v>
      </c>
      <c r="I443" s="11">
        <v>0.37</v>
      </c>
    </row>
    <row r="444" spans="1:9">
      <c r="A444" s="7" t="s">
        <v>553</v>
      </c>
      <c r="B444" s="7">
        <v>4243</v>
      </c>
      <c r="C444" s="7" t="str">
        <f t="shared" si="19"/>
        <v>070289000</v>
      </c>
      <c r="D444" s="7" t="s">
        <v>566</v>
      </c>
      <c r="E444" s="7">
        <v>89604</v>
      </c>
      <c r="F444" s="7" t="str">
        <f>"070289123"</f>
        <v>070289123</v>
      </c>
      <c r="H444" s="7">
        <v>981</v>
      </c>
      <c r="I444" s="11">
        <v>0.33</v>
      </c>
    </row>
    <row r="445" spans="1:9">
      <c r="A445" s="7" t="s">
        <v>553</v>
      </c>
      <c r="B445" s="7">
        <v>4243</v>
      </c>
      <c r="C445" s="7" t="str">
        <f t="shared" si="19"/>
        <v>070289000</v>
      </c>
      <c r="D445" s="7" t="s">
        <v>567</v>
      </c>
      <c r="E445" s="7">
        <v>87621</v>
      </c>
      <c r="F445" s="7" t="str">
        <f>"070289119"</f>
        <v>070289119</v>
      </c>
      <c r="H445" s="7">
        <v>586</v>
      </c>
      <c r="I445" s="11">
        <v>0.48</v>
      </c>
    </row>
    <row r="446" spans="1:9">
      <c r="A446" s="7" t="s">
        <v>553</v>
      </c>
      <c r="B446" s="7">
        <v>4243</v>
      </c>
      <c r="C446" s="7" t="str">
        <f t="shared" si="19"/>
        <v>070289000</v>
      </c>
      <c r="D446" s="7" t="s">
        <v>568</v>
      </c>
      <c r="E446" s="7">
        <v>89821</v>
      </c>
      <c r="F446" s="7" t="str">
        <f>"070289127"</f>
        <v>070289127</v>
      </c>
      <c r="H446" s="7">
        <v>893</v>
      </c>
      <c r="I446" s="11">
        <v>0.84</v>
      </c>
    </row>
    <row r="447" spans="1:9">
      <c r="A447" s="7" t="s">
        <v>553</v>
      </c>
      <c r="B447" s="7">
        <v>4243</v>
      </c>
      <c r="C447" s="7" t="str">
        <f t="shared" si="19"/>
        <v>070289000</v>
      </c>
      <c r="D447" s="7" t="s">
        <v>569</v>
      </c>
      <c r="E447" s="7">
        <v>90134</v>
      </c>
      <c r="F447" s="7" t="str">
        <f>"070289225"</f>
        <v>070289225</v>
      </c>
      <c r="H447" s="7">
        <v>2350</v>
      </c>
      <c r="I447" s="11">
        <v>0.27</v>
      </c>
    </row>
    <row r="448" spans="1:9">
      <c r="A448" s="7" t="s">
        <v>553</v>
      </c>
      <c r="B448" s="7">
        <v>4243</v>
      </c>
      <c r="C448" s="7" t="str">
        <f t="shared" si="19"/>
        <v>070289000</v>
      </c>
      <c r="D448" s="7" t="s">
        <v>570</v>
      </c>
      <c r="E448" s="7">
        <v>88414</v>
      </c>
      <c r="F448" s="7" t="str">
        <f>"070289120"</f>
        <v>070289120</v>
      </c>
      <c r="H448" s="7">
        <v>588</v>
      </c>
      <c r="I448" s="11">
        <v>0.46</v>
      </c>
    </row>
    <row r="449" spans="1:9">
      <c r="A449" s="7" t="s">
        <v>553</v>
      </c>
      <c r="B449" s="7">
        <v>4243</v>
      </c>
      <c r="C449" s="7" t="str">
        <f t="shared" si="19"/>
        <v>070289000</v>
      </c>
      <c r="D449" s="7" t="s">
        <v>571</v>
      </c>
      <c r="E449" s="7">
        <v>87620</v>
      </c>
      <c r="F449" s="7" t="str">
        <f>"070289118"</f>
        <v>070289118</v>
      </c>
      <c r="H449" s="7">
        <v>994</v>
      </c>
      <c r="I449" s="11">
        <v>0.51</v>
      </c>
    </row>
    <row r="450" spans="1:9">
      <c r="A450" s="7" t="s">
        <v>553</v>
      </c>
      <c r="B450" s="7">
        <v>4243</v>
      </c>
      <c r="C450" s="7" t="str">
        <f t="shared" si="19"/>
        <v>070289000</v>
      </c>
      <c r="D450" s="7" t="s">
        <v>572</v>
      </c>
      <c r="E450" s="7">
        <v>5131</v>
      </c>
      <c r="F450" s="7" t="str">
        <f>"070289104"</f>
        <v>070289104</v>
      </c>
      <c r="H450" s="7">
        <v>845</v>
      </c>
      <c r="I450" s="11">
        <v>0.79</v>
      </c>
    </row>
    <row r="451" spans="1:9">
      <c r="A451" s="7" t="s">
        <v>553</v>
      </c>
      <c r="B451" s="7">
        <v>4243</v>
      </c>
      <c r="C451" s="7" t="str">
        <f t="shared" si="19"/>
        <v>070289000</v>
      </c>
      <c r="D451" s="7" t="s">
        <v>573</v>
      </c>
      <c r="E451" s="7">
        <v>84684</v>
      </c>
      <c r="F451" s="7" t="str">
        <f>"070289117"</f>
        <v>070289117</v>
      </c>
      <c r="H451" s="7">
        <v>733</v>
      </c>
      <c r="I451" s="11">
        <v>0.83</v>
      </c>
    </row>
    <row r="452" spans="1:9">
      <c r="A452" s="7" t="s">
        <v>553</v>
      </c>
      <c r="B452" s="7">
        <v>4243</v>
      </c>
      <c r="C452" s="7" t="str">
        <f t="shared" si="19"/>
        <v>070289000</v>
      </c>
      <c r="D452" s="7" t="s">
        <v>574</v>
      </c>
      <c r="E452" s="7">
        <v>88417</v>
      </c>
      <c r="F452" s="7" t="str">
        <f>"070289220"</f>
        <v>070289220</v>
      </c>
      <c r="H452" s="7">
        <v>2445</v>
      </c>
      <c r="I452" s="11">
        <v>0.55000000000000004</v>
      </c>
    </row>
    <row r="453" spans="1:9">
      <c r="A453" s="7" t="s">
        <v>553</v>
      </c>
      <c r="B453" s="7">
        <v>4243</v>
      </c>
      <c r="C453" s="7" t="str">
        <f t="shared" si="19"/>
        <v>070289000</v>
      </c>
      <c r="D453" s="7" t="s">
        <v>575</v>
      </c>
      <c r="E453" s="7">
        <v>79632</v>
      </c>
      <c r="F453" s="7" t="str">
        <f>"070289108"</f>
        <v>070289108</v>
      </c>
      <c r="H453" s="7">
        <v>810</v>
      </c>
      <c r="I453" s="11">
        <v>0.65</v>
      </c>
    </row>
    <row r="454" spans="1:9">
      <c r="A454" s="7" t="s">
        <v>553</v>
      </c>
      <c r="B454" s="7">
        <v>4243</v>
      </c>
      <c r="C454" s="7" t="str">
        <f t="shared" si="19"/>
        <v>070289000</v>
      </c>
      <c r="D454" s="7" t="s">
        <v>576</v>
      </c>
      <c r="E454" s="7">
        <v>88415</v>
      </c>
      <c r="F454" s="7" t="str">
        <f>"070289121"</f>
        <v>070289121</v>
      </c>
      <c r="H454" s="7">
        <v>661</v>
      </c>
      <c r="I454" s="11">
        <v>0.49</v>
      </c>
    </row>
    <row r="455" spans="1:9">
      <c r="A455" s="7" t="s">
        <v>553</v>
      </c>
      <c r="B455" s="7">
        <v>4243</v>
      </c>
      <c r="C455" s="7" t="str">
        <f t="shared" si="19"/>
        <v>070289000</v>
      </c>
      <c r="D455" s="7" t="s">
        <v>577</v>
      </c>
      <c r="E455" s="7">
        <v>81113</v>
      </c>
      <c r="F455" s="7" t="str">
        <f>"070289210"</f>
        <v>070289210</v>
      </c>
      <c r="H455" s="7">
        <v>1835</v>
      </c>
      <c r="I455" s="11">
        <v>0.37</v>
      </c>
    </row>
    <row r="456" spans="1:9">
      <c r="A456" s="7" t="s">
        <v>578</v>
      </c>
      <c r="B456" s="7">
        <v>91938</v>
      </c>
      <c r="C456" s="7" t="str">
        <f>"078222000"</f>
        <v>078222000</v>
      </c>
      <c r="D456" s="7" t="s">
        <v>579</v>
      </c>
      <c r="E456" s="7">
        <v>92563</v>
      </c>
      <c r="F456" s="7" t="str">
        <f>"078222001"</f>
        <v>078222001</v>
      </c>
      <c r="H456" s="7">
        <v>360</v>
      </c>
      <c r="I456" s="11">
        <v>0.68</v>
      </c>
    </row>
    <row r="457" spans="1:9" ht="28.5">
      <c r="A457" s="7" t="s">
        <v>580</v>
      </c>
      <c r="B457" s="7">
        <v>91939</v>
      </c>
      <c r="C457" s="7" t="str">
        <f>"078223000"</f>
        <v>078223000</v>
      </c>
      <c r="D457" s="7" t="s">
        <v>581</v>
      </c>
      <c r="E457" s="7">
        <v>92601</v>
      </c>
      <c r="F457" s="7" t="str">
        <f>"078223001"</f>
        <v>078223001</v>
      </c>
      <c r="H457" s="7">
        <v>182</v>
      </c>
      <c r="I457" s="11">
        <v>0.88</v>
      </c>
    </row>
    <row r="458" spans="1:9">
      <c r="A458" s="7" t="s">
        <v>582</v>
      </c>
      <c r="B458" s="7">
        <v>89850</v>
      </c>
      <c r="C458" s="7" t="str">
        <f>"078541000"</f>
        <v>078541000</v>
      </c>
      <c r="D458" s="7" t="s">
        <v>583</v>
      </c>
      <c r="E458" s="7">
        <v>89851</v>
      </c>
      <c r="F458" s="7" t="str">
        <f>"078541101"</f>
        <v>078541101</v>
      </c>
      <c r="H458" s="7">
        <v>492</v>
      </c>
      <c r="I458" s="11">
        <v>0.62</v>
      </c>
    </row>
    <row r="459" spans="1:9">
      <c r="A459" s="7" t="s">
        <v>584</v>
      </c>
      <c r="B459" s="7">
        <v>87401</v>
      </c>
      <c r="C459" s="7" t="str">
        <f>"078509000"</f>
        <v>078509000</v>
      </c>
      <c r="D459" s="7" t="s">
        <v>585</v>
      </c>
      <c r="E459" s="7">
        <v>87402</v>
      </c>
      <c r="F459" s="7" t="str">
        <f>"078509101"</f>
        <v>078509101</v>
      </c>
      <c r="H459" s="7">
        <v>616</v>
      </c>
      <c r="I459" s="11">
        <v>0.71</v>
      </c>
    </row>
    <row r="460" spans="1:9" ht="28.5">
      <c r="A460" s="7" t="s">
        <v>586</v>
      </c>
      <c r="B460" s="7">
        <v>90506</v>
      </c>
      <c r="C460" s="7" t="str">
        <f>"108506000"</f>
        <v>108506000</v>
      </c>
      <c r="D460" s="7" t="s">
        <v>587</v>
      </c>
      <c r="E460" s="7">
        <v>90507</v>
      </c>
      <c r="F460" s="7" t="str">
        <f>"108506101"</f>
        <v>108506101</v>
      </c>
      <c r="G460" s="7" t="s">
        <v>16</v>
      </c>
      <c r="H460" s="7">
        <v>23</v>
      </c>
      <c r="I460" s="11">
        <v>0.92</v>
      </c>
    </row>
    <row r="461" spans="1:9">
      <c r="A461" s="7" t="s">
        <v>588</v>
      </c>
      <c r="B461" s="7">
        <v>743644</v>
      </c>
      <c r="C461" s="7" t="str">
        <f>"078573000"</f>
        <v>078573000</v>
      </c>
      <c r="D461" s="7" t="s">
        <v>589</v>
      </c>
      <c r="E461" s="7">
        <v>465875</v>
      </c>
      <c r="F461" s="7" t="str">
        <f>"078573101"</f>
        <v>078573101</v>
      </c>
      <c r="H461" s="7">
        <v>253</v>
      </c>
      <c r="I461" s="11">
        <v>0.6</v>
      </c>
    </row>
    <row r="462" spans="1:9" ht="28.5">
      <c r="A462" s="7" t="s">
        <v>590</v>
      </c>
      <c r="B462" s="7">
        <v>6446</v>
      </c>
      <c r="C462" s="7" t="str">
        <f t="shared" ref="C462:C477" si="20">"078915000"</f>
        <v>078915000</v>
      </c>
      <c r="D462" s="7" t="s">
        <v>591</v>
      </c>
      <c r="E462" s="7">
        <v>85750</v>
      </c>
      <c r="F462" s="7" t="str">
        <f>"078991101"</f>
        <v>078991101</v>
      </c>
      <c r="H462" s="7">
        <v>217</v>
      </c>
      <c r="I462" s="11">
        <v>0.21</v>
      </c>
    </row>
    <row r="463" spans="1:9" ht="28.5">
      <c r="A463" s="7" t="s">
        <v>590</v>
      </c>
      <c r="B463" s="7">
        <v>6446</v>
      </c>
      <c r="C463" s="7" t="str">
        <f t="shared" si="20"/>
        <v>078915000</v>
      </c>
      <c r="D463" s="7" t="s">
        <v>592</v>
      </c>
      <c r="E463" s="7">
        <v>88201</v>
      </c>
      <c r="F463" s="7" t="str">
        <f>"138754003"</f>
        <v>138754003</v>
      </c>
      <c r="G463" s="7" t="s">
        <v>16</v>
      </c>
      <c r="H463" s="7">
        <v>112</v>
      </c>
      <c r="I463" s="11">
        <v>0.88</v>
      </c>
    </row>
    <row r="464" spans="1:9" ht="28.5">
      <c r="A464" s="7" t="s">
        <v>590</v>
      </c>
      <c r="B464" s="7">
        <v>6446</v>
      </c>
      <c r="C464" s="7" t="str">
        <f t="shared" si="20"/>
        <v>078915000</v>
      </c>
      <c r="D464" s="7" t="s">
        <v>593</v>
      </c>
      <c r="E464" s="7">
        <v>6366</v>
      </c>
      <c r="F464" s="7" t="str">
        <f>"138754001"</f>
        <v>138754001</v>
      </c>
      <c r="G464" s="7" t="s">
        <v>16</v>
      </c>
      <c r="H464" s="7">
        <v>270</v>
      </c>
      <c r="I464" s="11">
        <v>0.51</v>
      </c>
    </row>
    <row r="465" spans="1:9" ht="28.5">
      <c r="A465" s="7" t="s">
        <v>590</v>
      </c>
      <c r="B465" s="7">
        <v>6446</v>
      </c>
      <c r="C465" s="7" t="str">
        <f t="shared" si="20"/>
        <v>078915000</v>
      </c>
      <c r="D465" s="7" t="s">
        <v>594</v>
      </c>
      <c r="E465" s="7">
        <v>90349</v>
      </c>
      <c r="F465" s="7" t="str">
        <f>"078971002"</f>
        <v>078971002</v>
      </c>
      <c r="H465" s="7">
        <v>286</v>
      </c>
      <c r="I465" s="11">
        <v>0.48</v>
      </c>
    </row>
    <row r="466" spans="1:9" ht="28.5">
      <c r="A466" s="7" t="s">
        <v>590</v>
      </c>
      <c r="B466" s="7">
        <v>6446</v>
      </c>
      <c r="C466" s="7" t="str">
        <f t="shared" si="20"/>
        <v>078915000</v>
      </c>
      <c r="D466" s="7" t="s">
        <v>595</v>
      </c>
      <c r="E466" s="7">
        <v>79263</v>
      </c>
      <c r="F466" s="7" t="str">
        <f>"078740101"</f>
        <v>078740101</v>
      </c>
      <c r="H466" s="7">
        <v>142</v>
      </c>
      <c r="I466" s="11">
        <v>0.73</v>
      </c>
    </row>
    <row r="467" spans="1:9" ht="28.5">
      <c r="A467" s="7" t="s">
        <v>590</v>
      </c>
      <c r="B467" s="7">
        <v>6446</v>
      </c>
      <c r="C467" s="7" t="str">
        <f t="shared" si="20"/>
        <v>078915000</v>
      </c>
      <c r="D467" s="7" t="s">
        <v>596</v>
      </c>
      <c r="E467" s="7">
        <v>89920</v>
      </c>
      <c r="F467" s="7" t="str">
        <f>"138705003"</f>
        <v>138705003</v>
      </c>
      <c r="G467" s="7" t="s">
        <v>16</v>
      </c>
      <c r="H467" s="7">
        <v>139</v>
      </c>
      <c r="I467" s="11" t="s">
        <v>17</v>
      </c>
    </row>
    <row r="468" spans="1:9" ht="28.5">
      <c r="A468" s="7" t="s">
        <v>590</v>
      </c>
      <c r="B468" s="7">
        <v>6446</v>
      </c>
      <c r="C468" s="7" t="str">
        <f t="shared" si="20"/>
        <v>078915000</v>
      </c>
      <c r="D468" s="7" t="s">
        <v>597</v>
      </c>
      <c r="E468" s="7">
        <v>79219</v>
      </c>
      <c r="F468" s="7" t="str">
        <f>"078744001"</f>
        <v>078744001</v>
      </c>
      <c r="G468" s="7" t="s">
        <v>16</v>
      </c>
      <c r="H468" s="7">
        <v>43</v>
      </c>
      <c r="I468" s="11">
        <v>0.6</v>
      </c>
    </row>
    <row r="469" spans="1:9" ht="28.5">
      <c r="A469" s="7" t="s">
        <v>590</v>
      </c>
      <c r="B469" s="7">
        <v>6446</v>
      </c>
      <c r="C469" s="7" t="str">
        <f t="shared" si="20"/>
        <v>078915000</v>
      </c>
      <c r="D469" s="7" t="s">
        <v>598</v>
      </c>
      <c r="E469" s="7">
        <v>92912</v>
      </c>
      <c r="F469" s="7" t="str">
        <f>"078917004"</f>
        <v>078917004</v>
      </c>
      <c r="G469" s="7" t="s">
        <v>16</v>
      </c>
      <c r="H469" s="7">
        <v>169</v>
      </c>
      <c r="I469" s="11">
        <v>0.79</v>
      </c>
    </row>
    <row r="470" spans="1:9" ht="28.5">
      <c r="A470" s="7" t="s">
        <v>590</v>
      </c>
      <c r="B470" s="7">
        <v>6446</v>
      </c>
      <c r="C470" s="7" t="str">
        <f t="shared" si="20"/>
        <v>078915000</v>
      </c>
      <c r="D470" s="7" t="s">
        <v>599</v>
      </c>
      <c r="E470" s="7">
        <v>920316</v>
      </c>
      <c r="F470" s="7" t="str">
        <f>"078744003"</f>
        <v>078744003</v>
      </c>
      <c r="G470" s="7" t="s">
        <v>16</v>
      </c>
      <c r="H470" s="7">
        <v>29</v>
      </c>
      <c r="I470" s="11">
        <v>0.62</v>
      </c>
    </row>
    <row r="471" spans="1:9">
      <c r="A471" s="7" t="s">
        <v>590</v>
      </c>
      <c r="B471" s="7">
        <v>6446</v>
      </c>
      <c r="C471" s="7" t="str">
        <f t="shared" si="20"/>
        <v>078915000</v>
      </c>
      <c r="D471" s="7" t="s">
        <v>600</v>
      </c>
      <c r="E471" s="7">
        <v>10753</v>
      </c>
      <c r="F471" s="7" t="str">
        <f>"078742001"</f>
        <v>078742001</v>
      </c>
      <c r="H471" s="7">
        <v>611</v>
      </c>
      <c r="I471" s="11">
        <v>0.19</v>
      </c>
    </row>
    <row r="472" spans="1:9" ht="28.5">
      <c r="A472" s="7" t="s">
        <v>590</v>
      </c>
      <c r="B472" s="7">
        <v>6446</v>
      </c>
      <c r="C472" s="7" t="str">
        <f t="shared" si="20"/>
        <v>078915000</v>
      </c>
      <c r="D472" s="7" t="s">
        <v>601</v>
      </c>
      <c r="E472" s="7">
        <v>79697</v>
      </c>
      <c r="F472" s="7" t="str">
        <f>"078915005"</f>
        <v>078915005</v>
      </c>
      <c r="G472" s="7" t="s">
        <v>16</v>
      </c>
      <c r="H472" s="7">
        <v>712</v>
      </c>
      <c r="I472" s="11">
        <v>0.62</v>
      </c>
    </row>
    <row r="473" spans="1:9" ht="28.5">
      <c r="A473" s="7" t="s">
        <v>590</v>
      </c>
      <c r="B473" s="7">
        <v>6446</v>
      </c>
      <c r="C473" s="7" t="str">
        <f t="shared" si="20"/>
        <v>078915000</v>
      </c>
      <c r="D473" s="7" t="s">
        <v>602</v>
      </c>
      <c r="E473" s="7">
        <v>92290</v>
      </c>
      <c r="F473" s="7" t="str">
        <f>"078742003"</f>
        <v>078742003</v>
      </c>
      <c r="G473" s="7" t="s">
        <v>16</v>
      </c>
      <c r="H473" s="7">
        <v>107</v>
      </c>
      <c r="I473" s="11">
        <v>0.67</v>
      </c>
    </row>
    <row r="474" spans="1:9" ht="28.5">
      <c r="A474" s="7" t="s">
        <v>590</v>
      </c>
      <c r="B474" s="7">
        <v>6446</v>
      </c>
      <c r="C474" s="7" t="str">
        <f t="shared" si="20"/>
        <v>078915000</v>
      </c>
      <c r="D474" s="7" t="s">
        <v>603</v>
      </c>
      <c r="E474" s="7">
        <v>92492</v>
      </c>
      <c r="F474" s="7" t="str">
        <f>"078742004"</f>
        <v>078742004</v>
      </c>
      <c r="H474" s="7">
        <v>344</v>
      </c>
      <c r="I474" s="11">
        <v>0.23</v>
      </c>
    </row>
    <row r="475" spans="1:9" ht="28.5">
      <c r="A475" s="7" t="s">
        <v>590</v>
      </c>
      <c r="B475" s="7">
        <v>6446</v>
      </c>
      <c r="C475" s="7" t="str">
        <f t="shared" si="20"/>
        <v>078915000</v>
      </c>
      <c r="D475" s="7" t="s">
        <v>604</v>
      </c>
      <c r="E475" s="7">
        <v>90322</v>
      </c>
      <c r="F475" s="7" t="str">
        <f>"078705206"</f>
        <v>078705206</v>
      </c>
      <c r="H475" s="7">
        <v>611</v>
      </c>
      <c r="I475" s="11">
        <v>0.5</v>
      </c>
    </row>
    <row r="476" spans="1:9">
      <c r="A476" s="7" t="s">
        <v>590</v>
      </c>
      <c r="B476" s="7">
        <v>6446</v>
      </c>
      <c r="C476" s="7" t="str">
        <f t="shared" si="20"/>
        <v>078915000</v>
      </c>
      <c r="D476" s="7" t="s">
        <v>605</v>
      </c>
      <c r="E476" s="7">
        <v>90377</v>
      </c>
      <c r="F476" s="7" t="str">
        <f>"078246002"</f>
        <v>078246002</v>
      </c>
      <c r="H476" s="7">
        <v>808</v>
      </c>
      <c r="I476" s="11">
        <v>0.56000000000000005</v>
      </c>
    </row>
    <row r="477" spans="1:9" ht="28.5">
      <c r="A477" s="7" t="s">
        <v>590</v>
      </c>
      <c r="B477" s="7">
        <v>6446</v>
      </c>
      <c r="C477" s="7" t="str">
        <f t="shared" si="20"/>
        <v>078915000</v>
      </c>
      <c r="D477" s="7" t="s">
        <v>606</v>
      </c>
      <c r="E477" s="7">
        <v>10848</v>
      </c>
      <c r="F477" s="7" t="str">
        <f>"078917001"</f>
        <v>078917001</v>
      </c>
      <c r="G477" s="7" t="s">
        <v>16</v>
      </c>
      <c r="H477" s="7">
        <v>221</v>
      </c>
      <c r="I477" s="11">
        <v>0.62</v>
      </c>
    </row>
    <row r="478" spans="1:9" ht="28.5">
      <c r="A478" s="7" t="s">
        <v>607</v>
      </c>
      <c r="B478" s="7">
        <v>81123</v>
      </c>
      <c r="C478" s="7" t="str">
        <f>"108717000"</f>
        <v>108717000</v>
      </c>
      <c r="D478" s="7" t="s">
        <v>608</v>
      </c>
      <c r="E478" s="7">
        <v>87415</v>
      </c>
      <c r="F478" s="7" t="str">
        <f>"108717102"</f>
        <v>108717102</v>
      </c>
      <c r="G478" s="7" t="s">
        <v>16</v>
      </c>
      <c r="H478" s="7">
        <v>128</v>
      </c>
      <c r="I478" s="11">
        <v>0.95</v>
      </c>
    </row>
    <row r="479" spans="1:9">
      <c r="A479" s="7" t="s">
        <v>609</v>
      </c>
      <c r="B479" s="7">
        <v>4185</v>
      </c>
      <c r="C479" s="7" t="str">
        <f>"020412000"</f>
        <v>020412000</v>
      </c>
      <c r="D479" s="7" t="s">
        <v>610</v>
      </c>
      <c r="E479" s="7">
        <v>4795</v>
      </c>
      <c r="F479" s="7" t="str">
        <f>"020412101"</f>
        <v>020412101</v>
      </c>
      <c r="H479" s="7">
        <v>113</v>
      </c>
      <c r="I479" s="11">
        <v>0.77</v>
      </c>
    </row>
    <row r="480" spans="1:9" ht="28.5">
      <c r="A480" s="7" t="s">
        <v>611</v>
      </c>
      <c r="B480" s="7">
        <v>4448</v>
      </c>
      <c r="C480" s="7" t="str">
        <f>"110411000"</f>
        <v>110411000</v>
      </c>
      <c r="D480" s="7" t="s">
        <v>612</v>
      </c>
      <c r="E480" s="7">
        <v>5940</v>
      </c>
      <c r="F480" s="7" t="str">
        <f>"110411103"</f>
        <v>110411103</v>
      </c>
      <c r="G480" s="7" t="s">
        <v>16</v>
      </c>
      <c r="H480" s="7">
        <v>250</v>
      </c>
      <c r="I480" s="11">
        <v>0.96</v>
      </c>
    </row>
    <row r="481" spans="1:9" ht="28.5">
      <c r="A481" s="7" t="s">
        <v>611</v>
      </c>
      <c r="B481" s="7">
        <v>4448</v>
      </c>
      <c r="C481" s="7" t="str">
        <f>"110411000"</f>
        <v>110411000</v>
      </c>
      <c r="D481" s="7" t="s">
        <v>613</v>
      </c>
      <c r="E481" s="7">
        <v>5941</v>
      </c>
      <c r="F481" s="7" t="str">
        <f>"110411104"</f>
        <v>110411104</v>
      </c>
      <c r="G481" s="7" t="s">
        <v>16</v>
      </c>
      <c r="H481" s="7">
        <v>257</v>
      </c>
      <c r="I481" s="11" t="s">
        <v>17</v>
      </c>
    </row>
    <row r="482" spans="1:9" ht="28.5">
      <c r="A482" s="7" t="s">
        <v>611</v>
      </c>
      <c r="B482" s="7">
        <v>4448</v>
      </c>
      <c r="C482" s="7" t="str">
        <f>"110411000"</f>
        <v>110411000</v>
      </c>
      <c r="D482" s="7" t="s">
        <v>614</v>
      </c>
      <c r="E482" s="7">
        <v>5942</v>
      </c>
      <c r="F482" s="7" t="str">
        <f>"110411105"</f>
        <v>110411105</v>
      </c>
      <c r="G482" s="7" t="s">
        <v>16</v>
      </c>
      <c r="H482" s="7">
        <v>253</v>
      </c>
      <c r="I482" s="11">
        <v>0.85</v>
      </c>
    </row>
    <row r="483" spans="1:9">
      <c r="A483" s="7" t="s">
        <v>615</v>
      </c>
      <c r="B483" s="7">
        <v>91277</v>
      </c>
      <c r="C483" s="7" t="str">
        <f>"078401000"</f>
        <v>078401000</v>
      </c>
      <c r="D483" s="7" t="s">
        <v>615</v>
      </c>
      <c r="E483" s="7">
        <v>91783</v>
      </c>
      <c r="F483" s="7" t="str">
        <f>"078401001"</f>
        <v>078401001</v>
      </c>
      <c r="G483" s="7" t="s">
        <v>26</v>
      </c>
      <c r="H483" s="7">
        <v>684</v>
      </c>
      <c r="I483" s="11">
        <v>0.9</v>
      </c>
    </row>
    <row r="484" spans="1:9" ht="28.5">
      <c r="A484" s="7" t="s">
        <v>615</v>
      </c>
      <c r="B484" s="7">
        <v>91277</v>
      </c>
      <c r="C484" s="7" t="str">
        <f>"078401000"</f>
        <v>078401000</v>
      </c>
      <c r="D484" s="7" t="s">
        <v>616</v>
      </c>
      <c r="E484" s="7">
        <v>92975</v>
      </c>
      <c r="F484" s="7" t="str">
        <f>"078401002"</f>
        <v>078401002</v>
      </c>
      <c r="G484" s="7" t="s">
        <v>26</v>
      </c>
      <c r="H484" s="7">
        <v>389</v>
      </c>
      <c r="I484" s="11">
        <v>0.89</v>
      </c>
    </row>
    <row r="485" spans="1:9">
      <c r="A485" s="7" t="s">
        <v>617</v>
      </c>
      <c r="B485" s="7">
        <v>4335</v>
      </c>
      <c r="C485" s="7" t="str">
        <f>"078711000"</f>
        <v>078711000</v>
      </c>
      <c r="D485" s="7" t="s">
        <v>618</v>
      </c>
      <c r="E485" s="7">
        <v>5507</v>
      </c>
      <c r="F485" s="7" t="str">
        <f>"078711001"</f>
        <v>078711001</v>
      </c>
      <c r="G485" s="7" t="s">
        <v>26</v>
      </c>
      <c r="H485" s="7">
        <v>341</v>
      </c>
      <c r="I485" s="11">
        <v>0.93</v>
      </c>
    </row>
    <row r="486" spans="1:9" ht="28.5">
      <c r="A486" s="7" t="s">
        <v>617</v>
      </c>
      <c r="B486" s="7">
        <v>92250</v>
      </c>
      <c r="C486" s="7" t="str">
        <f>"078103000"</f>
        <v>078103000</v>
      </c>
      <c r="D486" s="7" t="s">
        <v>619</v>
      </c>
      <c r="E486" s="7">
        <v>85886</v>
      </c>
      <c r="F486" s="7" t="str">
        <f>"078103001"</f>
        <v>078103001</v>
      </c>
      <c r="G486" s="7" t="s">
        <v>26</v>
      </c>
      <c r="H486" s="7">
        <v>423</v>
      </c>
      <c r="I486" s="11">
        <v>0.8</v>
      </c>
    </row>
    <row r="487" spans="1:9" ht="28.5">
      <c r="A487" s="7" t="s">
        <v>620</v>
      </c>
      <c r="B487" s="7">
        <v>92902</v>
      </c>
      <c r="C487" s="7" t="str">
        <f>"078275000"</f>
        <v>078275000</v>
      </c>
      <c r="D487" s="7" t="s">
        <v>621</v>
      </c>
      <c r="E487" s="7">
        <v>92903</v>
      </c>
      <c r="F487" s="7" t="str">
        <f>"078275001"</f>
        <v>078275001</v>
      </c>
      <c r="G487" s="7" t="s">
        <v>16</v>
      </c>
      <c r="H487" s="7">
        <v>44</v>
      </c>
      <c r="I487" s="11">
        <v>0.78</v>
      </c>
    </row>
    <row r="488" spans="1:9" ht="28.5">
      <c r="A488" s="7" t="s">
        <v>622</v>
      </c>
      <c r="B488" s="7">
        <v>92379</v>
      </c>
      <c r="C488" s="7" t="str">
        <f>"078254000"</f>
        <v>078254000</v>
      </c>
      <c r="D488" s="7" t="s">
        <v>623</v>
      </c>
      <c r="E488" s="7">
        <v>92893</v>
      </c>
      <c r="F488" s="7" t="str">
        <f>"078254001"</f>
        <v>078254001</v>
      </c>
      <c r="G488" s="7" t="s">
        <v>16</v>
      </c>
      <c r="H488" s="7">
        <v>353</v>
      </c>
      <c r="I488" s="11" t="s">
        <v>17</v>
      </c>
    </row>
    <row r="489" spans="1:9">
      <c r="A489" s="7" t="s">
        <v>624</v>
      </c>
      <c r="B489" s="7">
        <v>79214</v>
      </c>
      <c r="C489" s="7" t="str">
        <f>"078901000"</f>
        <v>078901000</v>
      </c>
      <c r="D489" s="7" t="s">
        <v>625</v>
      </c>
      <c r="E489" s="7">
        <v>81173</v>
      </c>
      <c r="F489" s="7" t="str">
        <f>"078901003"</f>
        <v>078901003</v>
      </c>
      <c r="H489" s="7">
        <v>304</v>
      </c>
      <c r="I489" s="11">
        <v>0.78</v>
      </c>
    </row>
    <row r="490" spans="1:9" ht="28.5">
      <c r="A490" s="7" t="s">
        <v>626</v>
      </c>
      <c r="B490" s="7">
        <v>88452</v>
      </c>
      <c r="C490" s="7" t="str">
        <f>"099104000"</f>
        <v>099104000</v>
      </c>
      <c r="D490" s="7" t="s">
        <v>627</v>
      </c>
      <c r="E490" s="7">
        <v>80145</v>
      </c>
      <c r="F490" s="7" t="str">
        <f>"093906004"</f>
        <v>093906004</v>
      </c>
      <c r="G490" s="7" t="s">
        <v>16</v>
      </c>
      <c r="H490" s="7">
        <v>125</v>
      </c>
      <c r="I490" s="11" t="s">
        <v>17</v>
      </c>
    </row>
    <row r="491" spans="1:9">
      <c r="A491" s="7" t="s">
        <v>628</v>
      </c>
      <c r="B491" s="7">
        <v>78783</v>
      </c>
      <c r="C491" s="7" t="str">
        <f>"078785000"</f>
        <v>078785000</v>
      </c>
      <c r="D491" s="7" t="s">
        <v>629</v>
      </c>
      <c r="E491" s="7">
        <v>92501</v>
      </c>
      <c r="F491" s="7" t="str">
        <f>"078785103"</f>
        <v>078785103</v>
      </c>
      <c r="H491" s="7">
        <v>419</v>
      </c>
      <c r="I491" s="11">
        <v>0.76</v>
      </c>
    </row>
    <row r="492" spans="1:9">
      <c r="A492" s="7" t="s">
        <v>628</v>
      </c>
      <c r="B492" s="7">
        <v>78783</v>
      </c>
      <c r="C492" s="7" t="str">
        <f>"078785000"</f>
        <v>078785000</v>
      </c>
      <c r="D492" s="7" t="s">
        <v>630</v>
      </c>
      <c r="E492" s="7">
        <v>460111</v>
      </c>
      <c r="F492" s="7" t="str">
        <f>"078785104"</f>
        <v>078785104</v>
      </c>
      <c r="H492" s="7">
        <v>455</v>
      </c>
      <c r="I492" s="11">
        <v>0.74</v>
      </c>
    </row>
    <row r="493" spans="1:9">
      <c r="A493" s="7" t="s">
        <v>628</v>
      </c>
      <c r="B493" s="7">
        <v>78783</v>
      </c>
      <c r="C493" s="7" t="str">
        <f>"078785000"</f>
        <v>078785000</v>
      </c>
      <c r="D493" s="7" t="s">
        <v>631</v>
      </c>
      <c r="E493" s="7">
        <v>78820</v>
      </c>
      <c r="F493" s="7" t="str">
        <f>"078785101"</f>
        <v>078785101</v>
      </c>
      <c r="G493" s="7" t="s">
        <v>26</v>
      </c>
      <c r="H493" s="7">
        <v>548</v>
      </c>
      <c r="I493" s="11">
        <v>0.93</v>
      </c>
    </row>
    <row r="494" spans="1:9" ht="28.5">
      <c r="A494" s="7" t="s">
        <v>632</v>
      </c>
      <c r="B494" s="7">
        <v>4192</v>
      </c>
      <c r="C494" s="7" t="str">
        <f t="shared" ref="C494:C509" si="21">"030201000"</f>
        <v>030201000</v>
      </c>
      <c r="D494" s="7" t="s">
        <v>633</v>
      </c>
      <c r="E494" s="7">
        <v>4811</v>
      </c>
      <c r="F494" s="7" t="str">
        <f>"030201117"</f>
        <v>030201117</v>
      </c>
      <c r="H494" s="7">
        <v>434</v>
      </c>
      <c r="I494" s="11">
        <v>0.19</v>
      </c>
    </row>
    <row r="495" spans="1:9">
      <c r="A495" s="7" t="s">
        <v>632</v>
      </c>
      <c r="B495" s="7">
        <v>4192</v>
      </c>
      <c r="C495" s="7" t="str">
        <f t="shared" si="21"/>
        <v>030201000</v>
      </c>
      <c r="D495" s="7" t="s">
        <v>634</v>
      </c>
      <c r="E495" s="7">
        <v>4820</v>
      </c>
      <c r="F495" s="7" t="str">
        <f>"030201282"</f>
        <v>030201282</v>
      </c>
      <c r="H495" s="7">
        <v>1553</v>
      </c>
      <c r="I495" s="11">
        <v>0.42</v>
      </c>
    </row>
    <row r="496" spans="1:9">
      <c r="A496" s="7" t="s">
        <v>632</v>
      </c>
      <c r="B496" s="7">
        <v>4192</v>
      </c>
      <c r="C496" s="7" t="str">
        <f t="shared" si="21"/>
        <v>030201000</v>
      </c>
      <c r="D496" s="7" t="s">
        <v>635</v>
      </c>
      <c r="E496" s="7">
        <v>4807</v>
      </c>
      <c r="F496" s="7" t="str">
        <f>"030201113"</f>
        <v>030201113</v>
      </c>
      <c r="H496" s="7">
        <v>395</v>
      </c>
      <c r="I496" s="11">
        <v>0.54</v>
      </c>
    </row>
    <row r="497" spans="1:9">
      <c r="A497" s="7" t="s">
        <v>632</v>
      </c>
      <c r="B497" s="7">
        <v>4192</v>
      </c>
      <c r="C497" s="7" t="str">
        <f t="shared" si="21"/>
        <v>030201000</v>
      </c>
      <c r="D497" s="7" t="s">
        <v>636</v>
      </c>
      <c r="E497" s="7">
        <v>4819</v>
      </c>
      <c r="F497" s="7" t="str">
        <f>"030201281"</f>
        <v>030201281</v>
      </c>
      <c r="H497" s="7">
        <v>1654</v>
      </c>
      <c r="I497" s="11">
        <v>0.36</v>
      </c>
    </row>
    <row r="498" spans="1:9" ht="28.5">
      <c r="A498" s="7" t="s">
        <v>632</v>
      </c>
      <c r="B498" s="7">
        <v>4192</v>
      </c>
      <c r="C498" s="7" t="str">
        <f t="shared" si="21"/>
        <v>030201000</v>
      </c>
      <c r="D498" s="7" t="s">
        <v>637</v>
      </c>
      <c r="E498" s="7">
        <v>4812</v>
      </c>
      <c r="F498" s="7" t="str">
        <f>"030201118"</f>
        <v>030201118</v>
      </c>
      <c r="G498" s="7" t="s">
        <v>16</v>
      </c>
      <c r="H498" s="7">
        <v>375</v>
      </c>
      <c r="I498" s="11" t="s">
        <v>17</v>
      </c>
    </row>
    <row r="499" spans="1:9" ht="28.5">
      <c r="A499" s="7" t="s">
        <v>632</v>
      </c>
      <c r="B499" s="7">
        <v>4192</v>
      </c>
      <c r="C499" s="7" t="str">
        <f t="shared" si="21"/>
        <v>030201000</v>
      </c>
      <c r="D499" s="7" t="s">
        <v>638</v>
      </c>
      <c r="E499" s="7">
        <v>4814</v>
      </c>
      <c r="F499" s="7" t="str">
        <f>"030201120"</f>
        <v>030201120</v>
      </c>
      <c r="G499" s="7" t="s">
        <v>16</v>
      </c>
      <c r="H499" s="7">
        <v>150</v>
      </c>
      <c r="I499" s="11" t="s">
        <v>17</v>
      </c>
    </row>
    <row r="500" spans="1:9" ht="28.5">
      <c r="A500" s="7" t="s">
        <v>632</v>
      </c>
      <c r="B500" s="7">
        <v>4192</v>
      </c>
      <c r="C500" s="7" t="str">
        <f t="shared" si="21"/>
        <v>030201000</v>
      </c>
      <c r="D500" s="7" t="s">
        <v>639</v>
      </c>
      <c r="E500" s="7">
        <v>4806</v>
      </c>
      <c r="F500" s="7" t="str">
        <f>"030201112"</f>
        <v>030201112</v>
      </c>
      <c r="G500" s="7" t="s">
        <v>16</v>
      </c>
      <c r="H500" s="7">
        <v>348</v>
      </c>
      <c r="I500" s="11" t="s">
        <v>17</v>
      </c>
    </row>
    <row r="501" spans="1:9" ht="28.5">
      <c r="A501" s="7" t="s">
        <v>632</v>
      </c>
      <c r="B501" s="7">
        <v>4192</v>
      </c>
      <c r="C501" s="7" t="str">
        <f t="shared" si="21"/>
        <v>030201000</v>
      </c>
      <c r="D501" s="7" t="s">
        <v>640</v>
      </c>
      <c r="E501" s="7">
        <v>4804</v>
      </c>
      <c r="F501" s="7" t="str">
        <f>"030201110"</f>
        <v>030201110</v>
      </c>
      <c r="H501" s="7">
        <v>566</v>
      </c>
      <c r="I501" s="11">
        <v>0.21</v>
      </c>
    </row>
    <row r="502" spans="1:9">
      <c r="A502" s="7" t="s">
        <v>632</v>
      </c>
      <c r="B502" s="7">
        <v>4192</v>
      </c>
      <c r="C502" s="7" t="str">
        <f t="shared" si="21"/>
        <v>030201000</v>
      </c>
      <c r="D502" s="7" t="s">
        <v>641</v>
      </c>
      <c r="E502" s="7">
        <v>4817</v>
      </c>
      <c r="F502" s="7" t="str">
        <f>"030201124"</f>
        <v>030201124</v>
      </c>
      <c r="H502" s="7">
        <v>687</v>
      </c>
      <c r="I502" s="11">
        <v>0.54</v>
      </c>
    </row>
    <row r="503" spans="1:9">
      <c r="A503" s="7" t="s">
        <v>632</v>
      </c>
      <c r="B503" s="7">
        <v>4192</v>
      </c>
      <c r="C503" s="7" t="str">
        <f t="shared" si="21"/>
        <v>030201000</v>
      </c>
      <c r="D503" s="7" t="s">
        <v>642</v>
      </c>
      <c r="E503" s="7">
        <v>4845</v>
      </c>
      <c r="F503" s="7" t="str">
        <f>"038701001"</f>
        <v>038701001</v>
      </c>
      <c r="H503" s="7">
        <v>647</v>
      </c>
      <c r="I503" s="11">
        <v>0.09</v>
      </c>
    </row>
    <row r="504" spans="1:9">
      <c r="A504" s="7" t="s">
        <v>632</v>
      </c>
      <c r="B504" s="7">
        <v>4192</v>
      </c>
      <c r="C504" s="7" t="str">
        <f t="shared" si="21"/>
        <v>030201000</v>
      </c>
      <c r="D504" s="7" t="s">
        <v>643</v>
      </c>
      <c r="E504" s="7">
        <v>90191</v>
      </c>
      <c r="F504" s="7" t="str">
        <f>"030201126"</f>
        <v>030201126</v>
      </c>
      <c r="H504" s="7">
        <v>1047</v>
      </c>
      <c r="I504" s="11">
        <v>0.46</v>
      </c>
    </row>
    <row r="505" spans="1:9" ht="28.5">
      <c r="A505" s="7" t="s">
        <v>632</v>
      </c>
      <c r="B505" s="7">
        <v>4192</v>
      </c>
      <c r="C505" s="7" t="str">
        <f t="shared" si="21"/>
        <v>030201000</v>
      </c>
      <c r="D505" s="7" t="s">
        <v>644</v>
      </c>
      <c r="E505" s="7">
        <v>4805</v>
      </c>
      <c r="F505" s="7" t="str">
        <f>"030201111"</f>
        <v>030201111</v>
      </c>
      <c r="H505" s="7">
        <v>393</v>
      </c>
      <c r="I505" s="11">
        <v>0.51</v>
      </c>
    </row>
    <row r="506" spans="1:9" ht="28.5">
      <c r="A506" s="7" t="s">
        <v>632</v>
      </c>
      <c r="B506" s="7">
        <v>4192</v>
      </c>
      <c r="C506" s="7" t="str">
        <f t="shared" si="21"/>
        <v>030201000</v>
      </c>
      <c r="D506" s="7" t="s">
        <v>645</v>
      </c>
      <c r="E506" s="7">
        <v>4803</v>
      </c>
      <c r="F506" s="7" t="str">
        <f>"030201066"</f>
        <v>030201066</v>
      </c>
      <c r="G506" s="7" t="s">
        <v>16</v>
      </c>
      <c r="H506" s="7">
        <v>98</v>
      </c>
      <c r="I506" s="11" t="s">
        <v>17</v>
      </c>
    </row>
    <row r="507" spans="1:9" ht="28.5">
      <c r="A507" s="7" t="s">
        <v>632</v>
      </c>
      <c r="B507" s="7">
        <v>4192</v>
      </c>
      <c r="C507" s="7" t="str">
        <f t="shared" si="21"/>
        <v>030201000</v>
      </c>
      <c r="D507" s="7" t="s">
        <v>646</v>
      </c>
      <c r="E507" s="7">
        <v>4815</v>
      </c>
      <c r="F507" s="7" t="str">
        <f>"030201122"</f>
        <v>030201122</v>
      </c>
      <c r="H507" s="7">
        <v>442</v>
      </c>
      <c r="I507" s="11">
        <v>0.48</v>
      </c>
    </row>
    <row r="508" spans="1:9" ht="28.5">
      <c r="A508" s="7" t="s">
        <v>632</v>
      </c>
      <c r="B508" s="7">
        <v>4192</v>
      </c>
      <c r="C508" s="7" t="str">
        <f t="shared" si="21"/>
        <v>030201000</v>
      </c>
      <c r="D508" s="7" t="s">
        <v>647</v>
      </c>
      <c r="E508" s="7">
        <v>4808</v>
      </c>
      <c r="F508" s="7" t="str">
        <f>"030201114"</f>
        <v>030201114</v>
      </c>
      <c r="G508" s="7" t="s">
        <v>16</v>
      </c>
      <c r="H508" s="7">
        <v>402</v>
      </c>
      <c r="I508" s="11" t="s">
        <v>17</v>
      </c>
    </row>
    <row r="509" spans="1:9" ht="28.5">
      <c r="A509" s="7" t="s">
        <v>632</v>
      </c>
      <c r="B509" s="7">
        <v>4192</v>
      </c>
      <c r="C509" s="7" t="str">
        <f t="shared" si="21"/>
        <v>030201000</v>
      </c>
      <c r="D509" s="7" t="s">
        <v>648</v>
      </c>
      <c r="E509" s="7">
        <v>79665</v>
      </c>
      <c r="F509" s="7" t="str">
        <f>"030201121"</f>
        <v>030201121</v>
      </c>
      <c r="H509" s="7">
        <v>435</v>
      </c>
      <c r="I509" s="11">
        <v>0.46</v>
      </c>
    </row>
    <row r="510" spans="1:9" ht="28.5">
      <c r="A510" s="7" t="s">
        <v>649</v>
      </c>
      <c r="B510" s="7">
        <v>91865</v>
      </c>
      <c r="C510" s="7" t="str">
        <f>"072795000"</f>
        <v>072795000</v>
      </c>
      <c r="D510" s="7" t="s">
        <v>650</v>
      </c>
      <c r="E510" s="7">
        <v>91866</v>
      </c>
      <c r="F510" s="7" t="str">
        <f>"072795001"</f>
        <v>072795001</v>
      </c>
      <c r="H510" s="7" t="s">
        <v>651</v>
      </c>
      <c r="I510" s="11" t="s">
        <v>17</v>
      </c>
    </row>
    <row r="511" spans="1:9">
      <c r="A511" s="7" t="s">
        <v>652</v>
      </c>
      <c r="B511" s="7">
        <v>4437</v>
      </c>
      <c r="C511" s="7" t="str">
        <f t="shared" ref="C511:C522" si="22">"110201000"</f>
        <v>110201000</v>
      </c>
      <c r="D511" s="7" t="s">
        <v>653</v>
      </c>
      <c r="E511" s="7">
        <v>88400</v>
      </c>
      <c r="F511" s="7" t="str">
        <f>"110201105"</f>
        <v>110201105</v>
      </c>
      <c r="H511" s="7">
        <v>718</v>
      </c>
      <c r="I511" s="11">
        <v>0.59</v>
      </c>
    </row>
    <row r="512" spans="1:9">
      <c r="A512" s="7" t="s">
        <v>652</v>
      </c>
      <c r="B512" s="7">
        <v>4437</v>
      </c>
      <c r="C512" s="7" t="str">
        <f t="shared" si="22"/>
        <v>110201000</v>
      </c>
      <c r="D512" s="7" t="s">
        <v>654</v>
      </c>
      <c r="E512" s="7">
        <v>89587</v>
      </c>
      <c r="F512" s="7" t="str">
        <f>"110201106"</f>
        <v>110201106</v>
      </c>
      <c r="H512" s="7">
        <v>774</v>
      </c>
      <c r="I512" s="11">
        <v>0.59</v>
      </c>
    </row>
    <row r="513" spans="1:9">
      <c r="A513" s="7" t="s">
        <v>652</v>
      </c>
      <c r="B513" s="7">
        <v>4437</v>
      </c>
      <c r="C513" s="7" t="str">
        <f t="shared" si="22"/>
        <v>110201000</v>
      </c>
      <c r="D513" s="7" t="s">
        <v>655</v>
      </c>
      <c r="E513" s="7">
        <v>85853</v>
      </c>
      <c r="F513" s="7" t="str">
        <f>"110201103"</f>
        <v>110201103</v>
      </c>
      <c r="H513" s="7">
        <v>585</v>
      </c>
      <c r="I513" s="11">
        <v>0.67</v>
      </c>
    </row>
    <row r="514" spans="1:9">
      <c r="A514" s="7" t="s">
        <v>652</v>
      </c>
      <c r="B514" s="7">
        <v>4437</v>
      </c>
      <c r="C514" s="7" t="str">
        <f t="shared" si="22"/>
        <v>110201000</v>
      </c>
      <c r="D514" s="7" t="s">
        <v>656</v>
      </c>
      <c r="E514" s="7">
        <v>5897</v>
      </c>
      <c r="F514" s="7" t="str">
        <f>"110201201"</f>
        <v>110201201</v>
      </c>
      <c r="H514" s="7">
        <v>859</v>
      </c>
      <c r="I514" s="11">
        <v>0.54</v>
      </c>
    </row>
    <row r="515" spans="1:9">
      <c r="A515" s="7" t="s">
        <v>652</v>
      </c>
      <c r="B515" s="7">
        <v>4437</v>
      </c>
      <c r="C515" s="7" t="str">
        <f t="shared" si="22"/>
        <v>110201000</v>
      </c>
      <c r="D515" s="7" t="s">
        <v>657</v>
      </c>
      <c r="E515" s="7">
        <v>5895</v>
      </c>
      <c r="F515" s="7" t="str">
        <f>"110201101"</f>
        <v>110201101</v>
      </c>
      <c r="H515" s="7">
        <v>779</v>
      </c>
      <c r="I515" s="11">
        <v>0.63</v>
      </c>
    </row>
    <row r="516" spans="1:9">
      <c r="A516" s="7" t="s">
        <v>652</v>
      </c>
      <c r="B516" s="7">
        <v>4437</v>
      </c>
      <c r="C516" s="7" t="str">
        <f t="shared" si="22"/>
        <v>110201000</v>
      </c>
      <c r="D516" s="7" t="s">
        <v>658</v>
      </c>
      <c r="E516" s="7">
        <v>89858</v>
      </c>
      <c r="F516" s="7" t="str">
        <f>"110201107"</f>
        <v>110201107</v>
      </c>
      <c r="H516" s="7">
        <v>551</v>
      </c>
      <c r="I516" s="11">
        <v>0.7</v>
      </c>
    </row>
    <row r="517" spans="1:9">
      <c r="A517" s="7" t="s">
        <v>652</v>
      </c>
      <c r="B517" s="7">
        <v>4437</v>
      </c>
      <c r="C517" s="7" t="str">
        <f t="shared" si="22"/>
        <v>110201000</v>
      </c>
      <c r="D517" s="7" t="s">
        <v>659</v>
      </c>
      <c r="E517" s="7">
        <v>92280</v>
      </c>
      <c r="F517" s="7" t="str">
        <f>"110201503"</f>
        <v>110201503</v>
      </c>
      <c r="H517" s="7">
        <v>190</v>
      </c>
      <c r="I517" s="11">
        <v>0.7</v>
      </c>
    </row>
    <row r="518" spans="1:9">
      <c r="A518" s="7" t="s">
        <v>652</v>
      </c>
      <c r="B518" s="7">
        <v>4437</v>
      </c>
      <c r="C518" s="7" t="str">
        <f t="shared" si="22"/>
        <v>110201000</v>
      </c>
      <c r="D518" s="7" t="s">
        <v>660</v>
      </c>
      <c r="E518" s="7">
        <v>90309</v>
      </c>
      <c r="F518" s="7" t="str">
        <f>"110201202"</f>
        <v>110201202</v>
      </c>
      <c r="H518" s="7">
        <v>1426</v>
      </c>
      <c r="I518" s="11">
        <v>0.56000000000000005</v>
      </c>
    </row>
    <row r="519" spans="1:9">
      <c r="A519" s="7" t="s">
        <v>652</v>
      </c>
      <c r="B519" s="7">
        <v>4437</v>
      </c>
      <c r="C519" s="7" t="str">
        <f t="shared" si="22"/>
        <v>110201000</v>
      </c>
      <c r="D519" s="7" t="s">
        <v>661</v>
      </c>
      <c r="E519" s="7">
        <v>89907</v>
      </c>
      <c r="F519" s="7" t="str">
        <f>"110201203"</f>
        <v>110201203</v>
      </c>
      <c r="H519" s="7">
        <v>808</v>
      </c>
      <c r="I519" s="11">
        <v>0.55000000000000004</v>
      </c>
    </row>
    <row r="520" spans="1:9">
      <c r="A520" s="7" t="s">
        <v>652</v>
      </c>
      <c r="B520" s="7">
        <v>4437</v>
      </c>
      <c r="C520" s="7" t="str">
        <f t="shared" si="22"/>
        <v>110201000</v>
      </c>
      <c r="D520" s="7" t="s">
        <v>662</v>
      </c>
      <c r="E520" s="7">
        <v>80440</v>
      </c>
      <c r="F520" s="7" t="str">
        <f>"110201108"</f>
        <v>110201108</v>
      </c>
      <c r="H520" s="7">
        <v>735</v>
      </c>
      <c r="I520" s="11">
        <v>0.65</v>
      </c>
    </row>
    <row r="521" spans="1:9">
      <c r="A521" s="7" t="s">
        <v>652</v>
      </c>
      <c r="B521" s="7">
        <v>4437</v>
      </c>
      <c r="C521" s="7" t="str">
        <f t="shared" si="22"/>
        <v>110201000</v>
      </c>
      <c r="D521" s="7" t="s">
        <v>663</v>
      </c>
      <c r="E521" s="7">
        <v>87537</v>
      </c>
      <c r="F521" s="7" t="str">
        <f>"110201104"</f>
        <v>110201104</v>
      </c>
      <c r="H521" s="7">
        <v>615</v>
      </c>
      <c r="I521" s="11">
        <v>0.64</v>
      </c>
    </row>
    <row r="522" spans="1:9">
      <c r="A522" s="7" t="s">
        <v>652</v>
      </c>
      <c r="B522" s="7">
        <v>4437</v>
      </c>
      <c r="C522" s="7" t="str">
        <f t="shared" si="22"/>
        <v>110201000</v>
      </c>
      <c r="D522" s="7" t="s">
        <v>664</v>
      </c>
      <c r="E522" s="7">
        <v>79415</v>
      </c>
      <c r="F522" s="7" t="str">
        <f>"110201102"</f>
        <v>110201102</v>
      </c>
      <c r="H522" s="7">
        <v>785</v>
      </c>
      <c r="I522" s="11">
        <v>0.64</v>
      </c>
    </row>
    <row r="523" spans="1:9">
      <c r="A523" s="7" t="s">
        <v>665</v>
      </c>
      <c r="B523" s="7">
        <v>4405</v>
      </c>
      <c r="C523" s="7" t="str">
        <f t="shared" ref="C523:C531" si="23">"100208000"</f>
        <v>100208000</v>
      </c>
      <c r="D523" s="7" t="s">
        <v>666</v>
      </c>
      <c r="E523" s="7">
        <v>5784</v>
      </c>
      <c r="F523" s="7" t="str">
        <f>"100208110"</f>
        <v>100208110</v>
      </c>
      <c r="H523" s="7">
        <v>444</v>
      </c>
      <c r="I523" s="11">
        <v>0.89</v>
      </c>
    </row>
    <row r="524" spans="1:9">
      <c r="A524" s="7" t="s">
        <v>665</v>
      </c>
      <c r="B524" s="7">
        <v>4405</v>
      </c>
      <c r="C524" s="7" t="str">
        <f t="shared" si="23"/>
        <v>100208000</v>
      </c>
      <c r="D524" s="7" t="s">
        <v>667</v>
      </c>
      <c r="E524" s="7">
        <v>5786</v>
      </c>
      <c r="F524" s="7" t="str">
        <f>"100208130"</f>
        <v>100208130</v>
      </c>
      <c r="H524" s="7">
        <v>539</v>
      </c>
      <c r="I524" s="11">
        <v>0.93</v>
      </c>
    </row>
    <row r="525" spans="1:9">
      <c r="A525" s="7" t="s">
        <v>665</v>
      </c>
      <c r="B525" s="7">
        <v>4405</v>
      </c>
      <c r="C525" s="7" t="str">
        <f t="shared" si="23"/>
        <v>100208000</v>
      </c>
      <c r="D525" s="7" t="s">
        <v>668</v>
      </c>
      <c r="E525" s="7">
        <v>5791</v>
      </c>
      <c r="F525" s="7" t="str">
        <f>"100208210"</f>
        <v>100208210</v>
      </c>
      <c r="H525" s="7">
        <v>1710</v>
      </c>
      <c r="I525" s="11">
        <v>0.72</v>
      </c>
    </row>
    <row r="526" spans="1:9">
      <c r="A526" s="7" t="s">
        <v>665</v>
      </c>
      <c r="B526" s="7">
        <v>4405</v>
      </c>
      <c r="C526" s="7" t="str">
        <f t="shared" si="23"/>
        <v>100208000</v>
      </c>
      <c r="D526" s="7" t="s">
        <v>669</v>
      </c>
      <c r="E526" s="7">
        <v>5790</v>
      </c>
      <c r="F526" s="7" t="str">
        <f>"100208170"</f>
        <v>100208170</v>
      </c>
      <c r="H526" s="7">
        <v>769</v>
      </c>
      <c r="I526" s="11">
        <v>0.76</v>
      </c>
    </row>
    <row r="527" spans="1:9">
      <c r="A527" s="7" t="s">
        <v>665</v>
      </c>
      <c r="B527" s="7">
        <v>4405</v>
      </c>
      <c r="C527" s="7" t="str">
        <f t="shared" si="23"/>
        <v>100208000</v>
      </c>
      <c r="D527" s="7" t="s">
        <v>670</v>
      </c>
      <c r="E527" s="7">
        <v>5785</v>
      </c>
      <c r="F527" s="7" t="str">
        <f>"100208120"</f>
        <v>100208120</v>
      </c>
      <c r="H527" s="7">
        <v>378</v>
      </c>
      <c r="I527" s="11">
        <v>0.93</v>
      </c>
    </row>
    <row r="528" spans="1:9" ht="28.5">
      <c r="A528" s="7" t="s">
        <v>665</v>
      </c>
      <c r="B528" s="7">
        <v>4405</v>
      </c>
      <c r="C528" s="7" t="str">
        <f t="shared" si="23"/>
        <v>100208000</v>
      </c>
      <c r="D528" s="7" t="s">
        <v>671</v>
      </c>
      <c r="E528" s="7">
        <v>5787</v>
      </c>
      <c r="F528" s="7" t="str">
        <f>"100208140"</f>
        <v>100208140</v>
      </c>
      <c r="H528" s="7">
        <v>469</v>
      </c>
      <c r="I528" s="11">
        <v>0.69</v>
      </c>
    </row>
    <row r="529" spans="1:9">
      <c r="A529" s="7" t="s">
        <v>665</v>
      </c>
      <c r="B529" s="7">
        <v>4405</v>
      </c>
      <c r="C529" s="7" t="str">
        <f t="shared" si="23"/>
        <v>100208000</v>
      </c>
      <c r="D529" s="7" t="s">
        <v>672</v>
      </c>
      <c r="E529" s="7">
        <v>5788</v>
      </c>
      <c r="F529" s="7" t="str">
        <f>"100208150"</f>
        <v>100208150</v>
      </c>
      <c r="H529" s="7">
        <v>406</v>
      </c>
      <c r="I529" s="11">
        <v>0.92</v>
      </c>
    </row>
    <row r="530" spans="1:9" ht="28.5">
      <c r="A530" s="7" t="s">
        <v>665</v>
      </c>
      <c r="B530" s="7">
        <v>4405</v>
      </c>
      <c r="C530" s="7" t="str">
        <f t="shared" si="23"/>
        <v>100208000</v>
      </c>
      <c r="D530" s="7" t="s">
        <v>673</v>
      </c>
      <c r="E530" s="7">
        <v>5789</v>
      </c>
      <c r="F530" s="7" t="str">
        <f>"100208160"</f>
        <v>100208160</v>
      </c>
      <c r="H530" s="7">
        <v>319</v>
      </c>
      <c r="I530" s="11">
        <v>0.55000000000000004</v>
      </c>
    </row>
    <row r="531" spans="1:9">
      <c r="A531" s="7" t="s">
        <v>665</v>
      </c>
      <c r="B531" s="7">
        <v>4405</v>
      </c>
      <c r="C531" s="7" t="str">
        <f t="shared" si="23"/>
        <v>100208000</v>
      </c>
      <c r="D531" s="7" t="s">
        <v>674</v>
      </c>
      <c r="E531" s="7">
        <v>6054</v>
      </c>
      <c r="F531" s="7" t="str">
        <f>"100208020"</f>
        <v>100208020</v>
      </c>
      <c r="H531" s="7">
        <v>75</v>
      </c>
      <c r="I531" s="11">
        <v>0.81</v>
      </c>
    </row>
    <row r="532" spans="1:9" ht="28.5">
      <c r="A532" s="7" t="s">
        <v>675</v>
      </c>
      <c r="B532" s="7">
        <v>4167</v>
      </c>
      <c r="C532" s="7" t="str">
        <f>"020100000"</f>
        <v>020100000</v>
      </c>
      <c r="D532" s="7" t="s">
        <v>676</v>
      </c>
      <c r="E532" s="7">
        <v>4747</v>
      </c>
      <c r="F532" s="7" t="str">
        <f>"020100102"</f>
        <v>020100102</v>
      </c>
      <c r="H532" s="7">
        <v>281</v>
      </c>
      <c r="I532" s="11">
        <v>0.28000000000000003</v>
      </c>
    </row>
    <row r="533" spans="1:9">
      <c r="A533" s="7" t="s">
        <v>675</v>
      </c>
      <c r="B533" s="7">
        <v>4167</v>
      </c>
      <c r="C533" s="7" t="str">
        <f>"020100000"</f>
        <v>020100000</v>
      </c>
      <c r="D533" s="7" t="s">
        <v>677</v>
      </c>
      <c r="E533" s="7">
        <v>4748</v>
      </c>
      <c r="F533" s="7" t="str">
        <f>"020100103"</f>
        <v>020100103</v>
      </c>
      <c r="H533" s="7">
        <v>242</v>
      </c>
      <c r="I533" s="11">
        <v>0.24</v>
      </c>
    </row>
    <row r="534" spans="1:9">
      <c r="A534" s="7" t="s">
        <v>675</v>
      </c>
      <c r="B534" s="7">
        <v>4167</v>
      </c>
      <c r="C534" s="7" t="str">
        <f>"020100000"</f>
        <v>020100000</v>
      </c>
      <c r="D534" s="7" t="s">
        <v>678</v>
      </c>
      <c r="E534" s="7">
        <v>5982</v>
      </c>
      <c r="F534" s="7" t="str">
        <f>"020100101"</f>
        <v>020100101</v>
      </c>
      <c r="H534" s="7">
        <v>264</v>
      </c>
      <c r="I534" s="11">
        <v>0.25</v>
      </c>
    </row>
    <row r="535" spans="1:9" ht="28.5">
      <c r="A535" s="7" t="s">
        <v>679</v>
      </c>
      <c r="B535" s="7">
        <v>4221</v>
      </c>
      <c r="C535" s="7" t="str">
        <f>"050207000"</f>
        <v>050207000</v>
      </c>
      <c r="D535" s="7" t="s">
        <v>680</v>
      </c>
      <c r="E535" s="7">
        <v>4892</v>
      </c>
      <c r="F535" s="7" t="str">
        <f>"050207101"</f>
        <v>050207101</v>
      </c>
      <c r="G535" s="7" t="s">
        <v>16</v>
      </c>
      <c r="H535" s="7">
        <v>228</v>
      </c>
      <c r="I535" s="11" t="s">
        <v>17</v>
      </c>
    </row>
    <row r="536" spans="1:9" ht="28.5">
      <c r="A536" s="7" t="s">
        <v>679</v>
      </c>
      <c r="B536" s="7">
        <v>4221</v>
      </c>
      <c r="C536" s="7" t="str">
        <f>"050207000"</f>
        <v>050207000</v>
      </c>
      <c r="D536" s="7" t="s">
        <v>681</v>
      </c>
      <c r="E536" s="7">
        <v>4893</v>
      </c>
      <c r="F536" s="7" t="str">
        <f>"050207202"</f>
        <v>050207202</v>
      </c>
      <c r="G536" s="7" t="s">
        <v>16</v>
      </c>
      <c r="H536" s="7">
        <v>268</v>
      </c>
      <c r="I536" s="11">
        <v>0.97</v>
      </c>
    </row>
    <row r="537" spans="1:9" ht="28.5">
      <c r="A537" s="7" t="s">
        <v>679</v>
      </c>
      <c r="B537" s="7">
        <v>4221</v>
      </c>
      <c r="C537" s="7" t="str">
        <f>"050207000"</f>
        <v>050207000</v>
      </c>
      <c r="D537" s="7" t="s">
        <v>682</v>
      </c>
      <c r="E537" s="7">
        <v>90064</v>
      </c>
      <c r="F537" s="7" t="str">
        <f>"050207204"</f>
        <v>050207204</v>
      </c>
      <c r="G537" s="7" t="s">
        <v>16</v>
      </c>
      <c r="H537" s="7">
        <v>32</v>
      </c>
      <c r="I537" s="11" t="s">
        <v>17</v>
      </c>
    </row>
    <row r="538" spans="1:9" ht="28.5">
      <c r="A538" s="7" t="s">
        <v>679</v>
      </c>
      <c r="B538" s="7">
        <v>4221</v>
      </c>
      <c r="C538" s="7" t="str">
        <f>"050207000"</f>
        <v>050207000</v>
      </c>
      <c r="D538" s="7" t="s">
        <v>683</v>
      </c>
      <c r="E538" s="7">
        <v>92618</v>
      </c>
      <c r="F538" s="7" t="str">
        <f>"050207103"</f>
        <v>050207103</v>
      </c>
      <c r="G538" s="7" t="s">
        <v>16</v>
      </c>
      <c r="H538" s="7">
        <v>116</v>
      </c>
      <c r="I538" s="11" t="s">
        <v>17</v>
      </c>
    </row>
    <row r="539" spans="1:9">
      <c r="A539" s="7" t="s">
        <v>684</v>
      </c>
      <c r="B539" s="7">
        <v>4247</v>
      </c>
      <c r="C539" s="7" t="str">
        <f>"070298000"</f>
        <v>070298000</v>
      </c>
      <c r="D539" s="7" t="s">
        <v>685</v>
      </c>
      <c r="E539" s="7">
        <v>5167</v>
      </c>
      <c r="F539" s="7" t="str">
        <f>"070298205"</f>
        <v>070298205</v>
      </c>
      <c r="H539" s="7">
        <v>445</v>
      </c>
      <c r="I539" s="11">
        <v>0.3</v>
      </c>
    </row>
    <row r="540" spans="1:9">
      <c r="A540" s="7" t="s">
        <v>684</v>
      </c>
      <c r="B540" s="7">
        <v>4247</v>
      </c>
      <c r="C540" s="7" t="str">
        <f>"070298000"</f>
        <v>070298000</v>
      </c>
      <c r="D540" s="7" t="s">
        <v>686</v>
      </c>
      <c r="E540" s="7">
        <v>5166</v>
      </c>
      <c r="F540" s="7" t="str">
        <f>"070298104"</f>
        <v>070298104</v>
      </c>
      <c r="H540" s="7">
        <v>243</v>
      </c>
      <c r="I540" s="11">
        <v>0.4</v>
      </c>
    </row>
    <row r="541" spans="1:9" ht="28.5">
      <c r="A541" s="7" t="s">
        <v>684</v>
      </c>
      <c r="B541" s="7">
        <v>4247</v>
      </c>
      <c r="C541" s="7" t="str">
        <f>"070298000"</f>
        <v>070298000</v>
      </c>
      <c r="D541" s="7" t="s">
        <v>687</v>
      </c>
      <c r="E541" s="7">
        <v>5165</v>
      </c>
      <c r="F541" s="7" t="str">
        <f>"070298102"</f>
        <v>070298102</v>
      </c>
      <c r="H541" s="7">
        <v>419</v>
      </c>
      <c r="I541" s="11">
        <v>0.53</v>
      </c>
    </row>
    <row r="542" spans="1:9">
      <c r="A542" s="7" t="s">
        <v>688</v>
      </c>
      <c r="B542" s="7">
        <v>4273</v>
      </c>
      <c r="C542" s="7" t="str">
        <f t="shared" ref="C542:C548" si="24">"070445000"</f>
        <v>070445000</v>
      </c>
      <c r="D542" s="7" t="s">
        <v>689</v>
      </c>
      <c r="E542" s="7">
        <v>5351</v>
      </c>
      <c r="F542" s="7" t="str">
        <f>"070445101"</f>
        <v>070445101</v>
      </c>
      <c r="H542" s="7">
        <v>410</v>
      </c>
      <c r="I542" s="11">
        <v>0.92</v>
      </c>
    </row>
    <row r="543" spans="1:9">
      <c r="A543" s="7" t="s">
        <v>688</v>
      </c>
      <c r="B543" s="7">
        <v>4273</v>
      </c>
      <c r="C543" s="7" t="str">
        <f t="shared" si="24"/>
        <v>070445000</v>
      </c>
      <c r="D543" s="7" t="s">
        <v>690</v>
      </c>
      <c r="E543" s="7">
        <v>5353</v>
      </c>
      <c r="F543" s="7" t="str">
        <f>"070445103"</f>
        <v>070445103</v>
      </c>
      <c r="H543" s="7">
        <v>606</v>
      </c>
      <c r="I543" s="11">
        <v>0.82</v>
      </c>
    </row>
    <row r="544" spans="1:9">
      <c r="A544" s="7" t="s">
        <v>688</v>
      </c>
      <c r="B544" s="7">
        <v>4273</v>
      </c>
      <c r="C544" s="7" t="str">
        <f t="shared" si="24"/>
        <v>070445000</v>
      </c>
      <c r="D544" s="7" t="s">
        <v>691</v>
      </c>
      <c r="E544" s="7">
        <v>80315</v>
      </c>
      <c r="F544" s="7" t="str">
        <f>"070445104"</f>
        <v>070445104</v>
      </c>
      <c r="H544" s="7">
        <v>610</v>
      </c>
      <c r="I544" s="11">
        <v>0.87</v>
      </c>
    </row>
    <row r="545" spans="1:9">
      <c r="A545" s="7" t="s">
        <v>688</v>
      </c>
      <c r="B545" s="7">
        <v>4273</v>
      </c>
      <c r="C545" s="7" t="str">
        <f t="shared" si="24"/>
        <v>070445000</v>
      </c>
      <c r="D545" s="7" t="s">
        <v>692</v>
      </c>
      <c r="E545" s="7">
        <v>5352</v>
      </c>
      <c r="F545" s="7" t="str">
        <f>"070445102"</f>
        <v>070445102</v>
      </c>
      <c r="H545" s="7">
        <v>481</v>
      </c>
      <c r="I545" s="11">
        <v>0.91</v>
      </c>
    </row>
    <row r="546" spans="1:9">
      <c r="A546" s="7" t="s">
        <v>688</v>
      </c>
      <c r="B546" s="7">
        <v>4273</v>
      </c>
      <c r="C546" s="7" t="str">
        <f t="shared" si="24"/>
        <v>070445000</v>
      </c>
      <c r="D546" s="7" t="s">
        <v>693</v>
      </c>
      <c r="E546" s="7">
        <v>87521</v>
      </c>
      <c r="F546" s="7" t="str">
        <f>"070445107"</f>
        <v>070445107</v>
      </c>
      <c r="H546" s="7">
        <v>542</v>
      </c>
      <c r="I546" s="11">
        <v>0.78</v>
      </c>
    </row>
    <row r="547" spans="1:9">
      <c r="A547" s="7" t="s">
        <v>688</v>
      </c>
      <c r="B547" s="7">
        <v>4273</v>
      </c>
      <c r="C547" s="7" t="str">
        <f t="shared" si="24"/>
        <v>070445000</v>
      </c>
      <c r="D547" s="7" t="s">
        <v>694</v>
      </c>
      <c r="E547" s="7">
        <v>80915</v>
      </c>
      <c r="F547" s="7" t="str">
        <f>"070445105"</f>
        <v>070445105</v>
      </c>
      <c r="H547" s="7">
        <v>572</v>
      </c>
      <c r="I547" s="11">
        <v>0.85</v>
      </c>
    </row>
    <row r="548" spans="1:9">
      <c r="A548" s="7" t="s">
        <v>688</v>
      </c>
      <c r="B548" s="7">
        <v>4273</v>
      </c>
      <c r="C548" s="7" t="str">
        <f t="shared" si="24"/>
        <v>070445000</v>
      </c>
      <c r="D548" s="7" t="s">
        <v>695</v>
      </c>
      <c r="E548" s="7">
        <v>80916</v>
      </c>
      <c r="F548" s="7" t="str">
        <f>"070445106"</f>
        <v>070445106</v>
      </c>
      <c r="H548" s="7">
        <v>537</v>
      </c>
      <c r="I548" s="11">
        <v>0.84</v>
      </c>
    </row>
    <row r="549" spans="1:9">
      <c r="A549" s="7" t="s">
        <v>696</v>
      </c>
      <c r="B549" s="7">
        <v>4495</v>
      </c>
      <c r="C549" s="7" t="str">
        <f>"138751000"</f>
        <v>138751000</v>
      </c>
      <c r="D549" s="7" t="s">
        <v>697</v>
      </c>
      <c r="E549" s="7">
        <v>6140</v>
      </c>
      <c r="F549" s="7" t="str">
        <f>"138751001"</f>
        <v>138751001</v>
      </c>
      <c r="H549" s="7">
        <v>454</v>
      </c>
      <c r="I549" s="11">
        <v>0.52</v>
      </c>
    </row>
    <row r="550" spans="1:9" ht="28.5">
      <c r="A550" s="7" t="s">
        <v>696</v>
      </c>
      <c r="B550" s="7">
        <v>4495</v>
      </c>
      <c r="C550" s="7" t="str">
        <f>"138751000"</f>
        <v>138751000</v>
      </c>
      <c r="D550" s="7" t="s">
        <v>698</v>
      </c>
      <c r="E550" s="7">
        <v>92597</v>
      </c>
      <c r="F550" s="7" t="str">
        <f>"078263001"</f>
        <v>078263001</v>
      </c>
      <c r="G550" s="7" t="s">
        <v>16</v>
      </c>
      <c r="H550" s="7">
        <v>118</v>
      </c>
      <c r="I550" s="11">
        <v>0.6</v>
      </c>
    </row>
    <row r="551" spans="1:9">
      <c r="A551" s="7" t="s">
        <v>699</v>
      </c>
      <c r="B551" s="7">
        <v>4195</v>
      </c>
      <c r="C551" s="7" t="str">
        <f>"030206000"</f>
        <v>030206000</v>
      </c>
      <c r="D551" s="7" t="s">
        <v>700</v>
      </c>
      <c r="E551" s="7">
        <v>4826</v>
      </c>
      <c r="F551" s="7" t="str">
        <f>"030206101"</f>
        <v>030206101</v>
      </c>
      <c r="H551" s="7">
        <v>86</v>
      </c>
      <c r="I551" s="11">
        <v>0.76</v>
      </c>
    </row>
    <row r="552" spans="1:9">
      <c r="A552" s="7" t="s">
        <v>699</v>
      </c>
      <c r="B552" s="7">
        <v>4195</v>
      </c>
      <c r="C552" s="7" t="str">
        <f>"030206000"</f>
        <v>030206000</v>
      </c>
      <c r="D552" s="7" t="s">
        <v>701</v>
      </c>
      <c r="E552" s="7">
        <v>4828</v>
      </c>
      <c r="F552" s="7" t="str">
        <f>"030206203"</f>
        <v>030206203</v>
      </c>
      <c r="H552" s="7">
        <v>96</v>
      </c>
      <c r="I552" s="11">
        <v>0.61</v>
      </c>
    </row>
    <row r="553" spans="1:9" ht="28.5">
      <c r="A553" s="7" t="s">
        <v>702</v>
      </c>
      <c r="B553" s="7">
        <v>4303</v>
      </c>
      <c r="C553" s="7" t="str">
        <f>"078611000"</f>
        <v>078611000</v>
      </c>
      <c r="D553" s="7" t="s">
        <v>703</v>
      </c>
      <c r="E553" s="7">
        <v>6036</v>
      </c>
      <c r="F553" s="7" t="str">
        <f>"078611001"</f>
        <v>078611001</v>
      </c>
      <c r="G553" s="7" t="s">
        <v>16</v>
      </c>
      <c r="H553" s="7">
        <v>283</v>
      </c>
      <c r="I553" s="11">
        <v>0.87</v>
      </c>
    </row>
    <row r="554" spans="1:9" ht="28.5">
      <c r="A554" s="7" t="s">
        <v>704</v>
      </c>
      <c r="B554" s="7">
        <v>4505</v>
      </c>
      <c r="C554" s="7" t="str">
        <f t="shared" ref="C554:C561" si="25">"140432000"</f>
        <v>140432000</v>
      </c>
      <c r="D554" s="7" t="s">
        <v>705</v>
      </c>
      <c r="E554" s="7">
        <v>6187</v>
      </c>
      <c r="F554" s="7" t="str">
        <f>"140432105"</f>
        <v>140432105</v>
      </c>
      <c r="G554" s="7" t="s">
        <v>16</v>
      </c>
      <c r="H554" s="7">
        <v>716</v>
      </c>
      <c r="I554" s="11" t="s">
        <v>17</v>
      </c>
    </row>
    <row r="555" spans="1:9">
      <c r="A555" s="7" t="s">
        <v>704</v>
      </c>
      <c r="B555" s="7">
        <v>4505</v>
      </c>
      <c r="C555" s="7" t="str">
        <f t="shared" si="25"/>
        <v>140432000</v>
      </c>
      <c r="D555" s="7" t="s">
        <v>706</v>
      </c>
      <c r="E555" s="7">
        <v>79724</v>
      </c>
      <c r="F555" s="7" t="str">
        <f>"140432106"</f>
        <v>140432106</v>
      </c>
      <c r="G555" s="7" t="s">
        <v>26</v>
      </c>
      <c r="H555" s="7">
        <v>727</v>
      </c>
      <c r="I555" s="11">
        <v>0.91</v>
      </c>
    </row>
    <row r="556" spans="1:9">
      <c r="A556" s="7" t="s">
        <v>704</v>
      </c>
      <c r="B556" s="7">
        <v>4505</v>
      </c>
      <c r="C556" s="7" t="str">
        <f t="shared" si="25"/>
        <v>140432000</v>
      </c>
      <c r="D556" s="7" t="s">
        <v>707</v>
      </c>
      <c r="E556" s="7">
        <v>81096</v>
      </c>
      <c r="F556" s="7" t="str">
        <f>"140432108"</f>
        <v>140432108</v>
      </c>
      <c r="G556" s="7" t="s">
        <v>26</v>
      </c>
      <c r="H556" s="7">
        <v>753</v>
      </c>
      <c r="I556" s="11">
        <v>0.9</v>
      </c>
    </row>
    <row r="557" spans="1:9" ht="28.5">
      <c r="A557" s="7" t="s">
        <v>704</v>
      </c>
      <c r="B557" s="7">
        <v>4505</v>
      </c>
      <c r="C557" s="7" t="str">
        <f t="shared" si="25"/>
        <v>140432000</v>
      </c>
      <c r="D557" s="7" t="s">
        <v>708</v>
      </c>
      <c r="E557" s="7">
        <v>81106</v>
      </c>
      <c r="F557" s="7" t="str">
        <f>"140432109"</f>
        <v>140432109</v>
      </c>
      <c r="G557" s="7" t="s">
        <v>16</v>
      </c>
      <c r="H557" s="7">
        <v>649</v>
      </c>
      <c r="I557" s="11">
        <v>0.88</v>
      </c>
    </row>
    <row r="558" spans="1:9" ht="28.5">
      <c r="A558" s="7" t="s">
        <v>704</v>
      </c>
      <c r="B558" s="7">
        <v>4505</v>
      </c>
      <c r="C558" s="7" t="str">
        <f t="shared" si="25"/>
        <v>140432000</v>
      </c>
      <c r="D558" s="7" t="s">
        <v>709</v>
      </c>
      <c r="E558" s="7">
        <v>6183</v>
      </c>
      <c r="F558" s="7" t="str">
        <f>"140432101"</f>
        <v>140432101</v>
      </c>
      <c r="G558" s="7" t="s">
        <v>16</v>
      </c>
      <c r="H558" s="7">
        <v>449</v>
      </c>
      <c r="I558" s="11" t="s">
        <v>17</v>
      </c>
    </row>
    <row r="559" spans="1:9" ht="28.5">
      <c r="A559" s="7" t="s">
        <v>704</v>
      </c>
      <c r="B559" s="7">
        <v>4505</v>
      </c>
      <c r="C559" s="7" t="str">
        <f t="shared" si="25"/>
        <v>140432000</v>
      </c>
      <c r="D559" s="7" t="s">
        <v>710</v>
      </c>
      <c r="E559" s="7">
        <v>6184</v>
      </c>
      <c r="F559" s="7" t="str">
        <f>"140432102"</f>
        <v>140432102</v>
      </c>
      <c r="G559" s="7" t="s">
        <v>16</v>
      </c>
      <c r="H559" s="7">
        <v>544</v>
      </c>
      <c r="I559" s="11" t="s">
        <v>17</v>
      </c>
    </row>
    <row r="560" spans="1:9">
      <c r="A560" s="7" t="s">
        <v>704</v>
      </c>
      <c r="B560" s="7">
        <v>4505</v>
      </c>
      <c r="C560" s="7" t="str">
        <f t="shared" si="25"/>
        <v>140432000</v>
      </c>
      <c r="D560" s="7" t="s">
        <v>711</v>
      </c>
      <c r="E560" s="7">
        <v>6185</v>
      </c>
      <c r="F560" s="7" t="str">
        <f>"140432103"</f>
        <v>140432103</v>
      </c>
      <c r="G560" s="7" t="s">
        <v>26</v>
      </c>
      <c r="H560" s="7">
        <v>794</v>
      </c>
      <c r="I560" s="11">
        <v>0.95</v>
      </c>
    </row>
    <row r="561" spans="1:9">
      <c r="A561" s="7" t="s">
        <v>704</v>
      </c>
      <c r="B561" s="7">
        <v>4505</v>
      </c>
      <c r="C561" s="7" t="str">
        <f t="shared" si="25"/>
        <v>140432000</v>
      </c>
      <c r="D561" s="7" t="s">
        <v>712</v>
      </c>
      <c r="E561" s="7">
        <v>81105</v>
      </c>
      <c r="F561" s="7" t="str">
        <f>"140432107"</f>
        <v>140432107</v>
      </c>
      <c r="G561" s="7" t="s">
        <v>26</v>
      </c>
      <c r="H561" s="7">
        <v>688</v>
      </c>
      <c r="I561" s="11">
        <v>0.92</v>
      </c>
    </row>
    <row r="562" spans="1:9" ht="28.5">
      <c r="A562" s="7" t="s">
        <v>713</v>
      </c>
      <c r="B562" s="7">
        <v>4157</v>
      </c>
      <c r="C562" s="7" t="str">
        <f>"010220000"</f>
        <v>010220000</v>
      </c>
      <c r="D562" s="7" t="s">
        <v>714</v>
      </c>
      <c r="E562" s="7">
        <v>4728</v>
      </c>
      <c r="F562" s="7" t="str">
        <f>"010220204"</f>
        <v>010220204</v>
      </c>
      <c r="G562" s="7" t="s">
        <v>16</v>
      </c>
      <c r="H562" s="7">
        <v>437</v>
      </c>
      <c r="I562" s="11">
        <v>0.9</v>
      </c>
    </row>
    <row r="563" spans="1:9" ht="28.5">
      <c r="A563" s="7" t="s">
        <v>713</v>
      </c>
      <c r="B563" s="7">
        <v>4157</v>
      </c>
      <c r="C563" s="7" t="str">
        <f>"010220000"</f>
        <v>010220000</v>
      </c>
      <c r="D563" s="7" t="s">
        <v>715</v>
      </c>
      <c r="E563" s="7">
        <v>4726</v>
      </c>
      <c r="F563" s="7" t="str">
        <f>"010220102"</f>
        <v>010220102</v>
      </c>
      <c r="G563" s="7" t="s">
        <v>16</v>
      </c>
      <c r="H563" s="7">
        <v>217</v>
      </c>
      <c r="I563" s="11" t="s">
        <v>17</v>
      </c>
    </row>
    <row r="564" spans="1:9" ht="28.5">
      <c r="A564" s="7" t="s">
        <v>713</v>
      </c>
      <c r="B564" s="7">
        <v>4157</v>
      </c>
      <c r="C564" s="7" t="str">
        <f>"010220000"</f>
        <v>010220000</v>
      </c>
      <c r="D564" s="7" t="s">
        <v>716</v>
      </c>
      <c r="E564" s="7">
        <v>4727</v>
      </c>
      <c r="F564" s="7" t="str">
        <f>"010220103"</f>
        <v>010220103</v>
      </c>
      <c r="G564" s="7" t="s">
        <v>16</v>
      </c>
      <c r="H564" s="7">
        <v>258</v>
      </c>
      <c r="I564" s="11">
        <v>0.92</v>
      </c>
    </row>
    <row r="565" spans="1:9" ht="28.5">
      <c r="A565" s="7" t="s">
        <v>713</v>
      </c>
      <c r="B565" s="7">
        <v>4157</v>
      </c>
      <c r="C565" s="7" t="str">
        <f>"010220000"</f>
        <v>010220000</v>
      </c>
      <c r="D565" s="7" t="s">
        <v>717</v>
      </c>
      <c r="E565" s="7">
        <v>4725</v>
      </c>
      <c r="F565" s="7" t="str">
        <f>"010220101"</f>
        <v>010220101</v>
      </c>
      <c r="G565" s="7" t="s">
        <v>16</v>
      </c>
      <c r="H565" s="7">
        <v>217</v>
      </c>
      <c r="I565" s="11" t="s">
        <v>17</v>
      </c>
    </row>
    <row r="566" spans="1:9">
      <c r="A566" s="7" t="s">
        <v>718</v>
      </c>
      <c r="B566" s="7">
        <v>85892</v>
      </c>
      <c r="C566" s="7" t="str">
        <f>"102707000"</f>
        <v>102707000</v>
      </c>
      <c r="D566" s="7" t="s">
        <v>719</v>
      </c>
      <c r="E566" s="7">
        <v>91247</v>
      </c>
      <c r="F566" s="7" t="str">
        <f>"102707014"</f>
        <v>102707014</v>
      </c>
      <c r="H566" s="7" t="s">
        <v>651</v>
      </c>
      <c r="I566" s="11" t="s">
        <v>17</v>
      </c>
    </row>
    <row r="567" spans="1:9">
      <c r="A567" s="7" t="s">
        <v>718</v>
      </c>
      <c r="B567" s="7">
        <v>85892</v>
      </c>
      <c r="C567" s="7" t="str">
        <f>"102707000"</f>
        <v>102707000</v>
      </c>
      <c r="D567" s="7" t="s">
        <v>720</v>
      </c>
      <c r="E567" s="7">
        <v>85902</v>
      </c>
      <c r="F567" s="7" t="str">
        <f>"102707011"</f>
        <v>102707011</v>
      </c>
      <c r="H567" s="7" t="s">
        <v>651</v>
      </c>
      <c r="I567" s="11" t="s">
        <v>17</v>
      </c>
    </row>
    <row r="568" spans="1:9">
      <c r="A568" s="7" t="s">
        <v>718</v>
      </c>
      <c r="B568" s="7">
        <v>85892</v>
      </c>
      <c r="C568" s="7" t="str">
        <f>"102707000"</f>
        <v>102707000</v>
      </c>
      <c r="D568" s="7" t="s">
        <v>721</v>
      </c>
      <c r="E568" s="7">
        <v>85898</v>
      </c>
      <c r="F568" s="7" t="str">
        <f>"102707007"</f>
        <v>102707007</v>
      </c>
      <c r="H568" s="7" t="s">
        <v>651</v>
      </c>
      <c r="I568" s="11" t="s">
        <v>17</v>
      </c>
    </row>
    <row r="569" spans="1:9">
      <c r="A569" s="7" t="s">
        <v>718</v>
      </c>
      <c r="B569" s="7">
        <v>85892</v>
      </c>
      <c r="C569" s="7" t="str">
        <f>"102707000"</f>
        <v>102707000</v>
      </c>
      <c r="D569" s="7" t="s">
        <v>722</v>
      </c>
      <c r="E569" s="7">
        <v>85901</v>
      </c>
      <c r="F569" s="7" t="str">
        <f>"102707010"</f>
        <v>102707010</v>
      </c>
      <c r="H569" s="7" t="s">
        <v>651</v>
      </c>
      <c r="I569" s="11" t="s">
        <v>17</v>
      </c>
    </row>
    <row r="570" spans="1:9" ht="28.5">
      <c r="A570" s="7" t="s">
        <v>723</v>
      </c>
      <c r="B570" s="7">
        <v>90884</v>
      </c>
      <c r="C570" s="7" t="str">
        <f>"078585000"</f>
        <v>078585000</v>
      </c>
      <c r="D570" s="7" t="s">
        <v>724</v>
      </c>
      <c r="E570" s="7">
        <v>91712</v>
      </c>
      <c r="F570" s="7" t="str">
        <f>"078585001"</f>
        <v>078585001</v>
      </c>
      <c r="G570" s="7" t="s">
        <v>16</v>
      </c>
      <c r="H570" s="7">
        <v>165</v>
      </c>
      <c r="I570" s="11">
        <v>0.84</v>
      </c>
    </row>
    <row r="571" spans="1:9" ht="28.5">
      <c r="A571" s="7" t="s">
        <v>725</v>
      </c>
      <c r="B571" s="7">
        <v>4238</v>
      </c>
      <c r="C571" s="7" t="str">
        <f>"070224000"</f>
        <v>070224000</v>
      </c>
      <c r="D571" s="7" t="s">
        <v>726</v>
      </c>
      <c r="E571" s="7">
        <v>5018</v>
      </c>
      <c r="F571" s="7" t="str">
        <f>"070224001"</f>
        <v>070224001</v>
      </c>
      <c r="G571" s="7" t="s">
        <v>16</v>
      </c>
      <c r="H571" s="7">
        <v>340</v>
      </c>
      <c r="I571" s="11">
        <v>0.9</v>
      </c>
    </row>
    <row r="572" spans="1:9" ht="28.5">
      <c r="A572" s="7" t="s">
        <v>725</v>
      </c>
      <c r="B572" s="7">
        <v>4238</v>
      </c>
      <c r="C572" s="7" t="str">
        <f>"070224000"</f>
        <v>070224000</v>
      </c>
      <c r="D572" s="7" t="s">
        <v>727</v>
      </c>
      <c r="E572" s="7">
        <v>5019</v>
      </c>
      <c r="F572" s="7" t="str">
        <f>"070224002"</f>
        <v>070224002</v>
      </c>
      <c r="G572" s="7" t="s">
        <v>16</v>
      </c>
      <c r="H572" s="7">
        <v>185</v>
      </c>
      <c r="I572" s="11">
        <v>0.59</v>
      </c>
    </row>
    <row r="573" spans="1:9" ht="28.5">
      <c r="A573" s="7" t="s">
        <v>728</v>
      </c>
      <c r="B573" s="7">
        <v>80406</v>
      </c>
      <c r="C573" s="7" t="str">
        <f>"073901000"</f>
        <v>073901000</v>
      </c>
      <c r="D573" s="7" t="s">
        <v>728</v>
      </c>
      <c r="E573" s="7">
        <v>80407</v>
      </c>
      <c r="F573" s="7" t="str">
        <f>"073901001"</f>
        <v>073901001</v>
      </c>
      <c r="G573" s="7" t="s">
        <v>16</v>
      </c>
      <c r="H573" s="7">
        <v>453</v>
      </c>
      <c r="I573" s="11" t="s">
        <v>17</v>
      </c>
    </row>
    <row r="574" spans="1:9">
      <c r="A574" s="7" t="s">
        <v>729</v>
      </c>
      <c r="B574" s="7">
        <v>4239</v>
      </c>
      <c r="C574" s="7" t="str">
        <f t="shared" ref="C574:C610" si="26">"070241000"</f>
        <v>070241000</v>
      </c>
      <c r="D574" s="7" t="s">
        <v>730</v>
      </c>
      <c r="E574" s="7">
        <v>79181</v>
      </c>
      <c r="F574" s="7" t="str">
        <f>"070241161"</f>
        <v>070241161</v>
      </c>
      <c r="H574" s="7">
        <v>816</v>
      </c>
      <c r="I574" s="11">
        <v>0.24</v>
      </c>
    </row>
    <row r="575" spans="1:9">
      <c r="A575" s="7" t="s">
        <v>729</v>
      </c>
      <c r="B575" s="7">
        <v>4239</v>
      </c>
      <c r="C575" s="7" t="str">
        <f t="shared" si="26"/>
        <v>070241000</v>
      </c>
      <c r="D575" s="7" t="s">
        <v>731</v>
      </c>
      <c r="E575" s="7">
        <v>79630</v>
      </c>
      <c r="F575" s="7" t="str">
        <f>"070241162"</f>
        <v>070241162</v>
      </c>
      <c r="H575" s="7">
        <v>953</v>
      </c>
      <c r="I575" s="11">
        <v>0.37</v>
      </c>
    </row>
    <row r="576" spans="1:9">
      <c r="A576" s="7" t="s">
        <v>729</v>
      </c>
      <c r="B576" s="7">
        <v>4239</v>
      </c>
      <c r="C576" s="7" t="str">
        <f t="shared" si="26"/>
        <v>070241000</v>
      </c>
      <c r="D576" s="7" t="s">
        <v>732</v>
      </c>
      <c r="E576" s="7">
        <v>79145</v>
      </c>
      <c r="F576" s="7" t="str">
        <f>"070241160"</f>
        <v>070241160</v>
      </c>
      <c r="H576" s="7">
        <v>507</v>
      </c>
      <c r="I576" s="11">
        <v>0.5</v>
      </c>
    </row>
    <row r="577" spans="1:9">
      <c r="A577" s="7" t="s">
        <v>729</v>
      </c>
      <c r="B577" s="7">
        <v>4239</v>
      </c>
      <c r="C577" s="7" t="str">
        <f t="shared" si="26"/>
        <v>070241000</v>
      </c>
      <c r="D577" s="7" t="s">
        <v>733</v>
      </c>
      <c r="E577" s="7">
        <v>5030</v>
      </c>
      <c r="F577" s="7" t="str">
        <f>"070241147"</f>
        <v>070241147</v>
      </c>
      <c r="H577" s="7">
        <v>462</v>
      </c>
      <c r="I577" s="11">
        <v>0.55000000000000004</v>
      </c>
    </row>
    <row r="578" spans="1:9">
      <c r="A578" s="7" t="s">
        <v>729</v>
      </c>
      <c r="B578" s="7">
        <v>4239</v>
      </c>
      <c r="C578" s="7" t="str">
        <f t="shared" si="26"/>
        <v>070241000</v>
      </c>
      <c r="D578" s="7" t="s">
        <v>734</v>
      </c>
      <c r="E578" s="7">
        <v>90124</v>
      </c>
      <c r="F578" s="7" t="str">
        <f>"070241214"</f>
        <v>070241214</v>
      </c>
      <c r="H578" s="7">
        <v>1942</v>
      </c>
      <c r="I578" s="11">
        <v>0.19</v>
      </c>
    </row>
    <row r="579" spans="1:9">
      <c r="A579" s="7" t="s">
        <v>729</v>
      </c>
      <c r="B579" s="7">
        <v>4239</v>
      </c>
      <c r="C579" s="7" t="str">
        <f t="shared" si="26"/>
        <v>070241000</v>
      </c>
      <c r="D579" s="7" t="s">
        <v>735</v>
      </c>
      <c r="E579" s="7">
        <v>79829</v>
      </c>
      <c r="F579" s="7" t="str">
        <f>"070241163"</f>
        <v>070241163</v>
      </c>
      <c r="H579" s="7">
        <v>879</v>
      </c>
      <c r="I579" s="11">
        <v>0.34</v>
      </c>
    </row>
    <row r="580" spans="1:9">
      <c r="A580" s="7" t="s">
        <v>729</v>
      </c>
      <c r="B580" s="7">
        <v>4239</v>
      </c>
      <c r="C580" s="7" t="str">
        <f t="shared" si="26"/>
        <v>070241000</v>
      </c>
      <c r="D580" s="7" t="s">
        <v>736</v>
      </c>
      <c r="E580" s="7">
        <v>79144</v>
      </c>
      <c r="F580" s="7" t="str">
        <f>"070241159"</f>
        <v>070241159</v>
      </c>
      <c r="H580" s="7">
        <v>634</v>
      </c>
      <c r="I580" s="11">
        <v>0.24</v>
      </c>
    </row>
    <row r="581" spans="1:9">
      <c r="A581" s="7" t="s">
        <v>729</v>
      </c>
      <c r="B581" s="7">
        <v>4239</v>
      </c>
      <c r="C581" s="7" t="str">
        <f t="shared" si="26"/>
        <v>070241000</v>
      </c>
      <c r="D581" s="7" t="s">
        <v>737</v>
      </c>
      <c r="E581" s="7">
        <v>79823</v>
      </c>
      <c r="F581" s="7" t="str">
        <f>"070241213"</f>
        <v>070241213</v>
      </c>
      <c r="H581" s="7">
        <v>2187</v>
      </c>
      <c r="I581" s="11">
        <v>0.31</v>
      </c>
    </row>
    <row r="582" spans="1:9">
      <c r="A582" s="7" t="s">
        <v>729</v>
      </c>
      <c r="B582" s="7">
        <v>4239</v>
      </c>
      <c r="C582" s="7" t="str">
        <f t="shared" si="26"/>
        <v>070241000</v>
      </c>
      <c r="D582" s="7" t="s">
        <v>738</v>
      </c>
      <c r="E582" s="7">
        <v>79629</v>
      </c>
      <c r="F582" s="7" t="str">
        <f>"070241124"</f>
        <v>070241124</v>
      </c>
      <c r="H582" s="7">
        <v>947</v>
      </c>
      <c r="I582" s="11">
        <v>0.34</v>
      </c>
    </row>
    <row r="583" spans="1:9">
      <c r="A583" s="7" t="s">
        <v>729</v>
      </c>
      <c r="B583" s="7">
        <v>4239</v>
      </c>
      <c r="C583" s="7" t="str">
        <f t="shared" si="26"/>
        <v>070241000</v>
      </c>
      <c r="D583" s="7" t="s">
        <v>739</v>
      </c>
      <c r="E583" s="7">
        <v>5038</v>
      </c>
      <c r="F583" s="7" t="str">
        <f>"070241156"</f>
        <v>070241156</v>
      </c>
      <c r="H583" s="7">
        <v>680</v>
      </c>
      <c r="I583" s="11">
        <v>0.42</v>
      </c>
    </row>
    <row r="584" spans="1:9">
      <c r="A584" s="7" t="s">
        <v>729</v>
      </c>
      <c r="B584" s="7">
        <v>4239</v>
      </c>
      <c r="C584" s="7" t="str">
        <f t="shared" si="26"/>
        <v>070241000</v>
      </c>
      <c r="D584" s="7" t="s">
        <v>740</v>
      </c>
      <c r="E584" s="7">
        <v>89605</v>
      </c>
      <c r="F584" s="7" t="str">
        <f>"070241134"</f>
        <v>070241134</v>
      </c>
      <c r="H584" s="7">
        <v>587</v>
      </c>
      <c r="I584" s="11">
        <v>0.13</v>
      </c>
    </row>
    <row r="585" spans="1:9">
      <c r="A585" s="7" t="s">
        <v>729</v>
      </c>
      <c r="B585" s="7">
        <v>4239</v>
      </c>
      <c r="C585" s="7" t="str">
        <f t="shared" si="26"/>
        <v>070241000</v>
      </c>
      <c r="D585" s="7" t="s">
        <v>741</v>
      </c>
      <c r="E585" s="7">
        <v>5023</v>
      </c>
      <c r="F585" s="7" t="str">
        <f>"070241140"</f>
        <v>070241140</v>
      </c>
      <c r="H585" s="7">
        <v>622</v>
      </c>
      <c r="I585" s="11">
        <v>0.47</v>
      </c>
    </row>
    <row r="586" spans="1:9">
      <c r="A586" s="7" t="s">
        <v>729</v>
      </c>
      <c r="B586" s="7">
        <v>4239</v>
      </c>
      <c r="C586" s="7" t="str">
        <f t="shared" si="26"/>
        <v>070241000</v>
      </c>
      <c r="D586" s="7" t="s">
        <v>742</v>
      </c>
      <c r="E586" s="7">
        <v>5039</v>
      </c>
      <c r="F586" s="7" t="str">
        <f>"070241210"</f>
        <v>070241210</v>
      </c>
      <c r="H586" s="7">
        <v>2303</v>
      </c>
      <c r="I586" s="11">
        <v>0.34</v>
      </c>
    </row>
    <row r="587" spans="1:9">
      <c r="A587" s="7" t="s">
        <v>729</v>
      </c>
      <c r="B587" s="7">
        <v>4239</v>
      </c>
      <c r="C587" s="7" t="str">
        <f t="shared" si="26"/>
        <v>070241000</v>
      </c>
      <c r="D587" s="7" t="s">
        <v>743</v>
      </c>
      <c r="E587" s="7">
        <v>5024</v>
      </c>
      <c r="F587" s="7" t="str">
        <f>"070241141"</f>
        <v>070241141</v>
      </c>
      <c r="H587" s="7">
        <v>948</v>
      </c>
      <c r="I587" s="11">
        <v>0.08</v>
      </c>
    </row>
    <row r="588" spans="1:9">
      <c r="A588" s="7" t="s">
        <v>729</v>
      </c>
      <c r="B588" s="7">
        <v>4239</v>
      </c>
      <c r="C588" s="7" t="str">
        <f t="shared" si="26"/>
        <v>070241000</v>
      </c>
      <c r="D588" s="7" t="s">
        <v>744</v>
      </c>
      <c r="E588" s="7">
        <v>5022</v>
      </c>
      <c r="F588" s="7" t="str">
        <f>"070241122"</f>
        <v>070241122</v>
      </c>
      <c r="H588" s="7">
        <v>1211</v>
      </c>
      <c r="I588" s="11">
        <v>0.25</v>
      </c>
    </row>
    <row r="589" spans="1:9">
      <c r="A589" s="7" t="s">
        <v>729</v>
      </c>
      <c r="B589" s="7">
        <v>4239</v>
      </c>
      <c r="C589" s="7" t="str">
        <f t="shared" si="26"/>
        <v>070241000</v>
      </c>
      <c r="D589" s="7" t="s">
        <v>745</v>
      </c>
      <c r="E589" s="7">
        <v>5033</v>
      </c>
      <c r="F589" s="7" t="str">
        <f>"070241150"</f>
        <v>070241150</v>
      </c>
      <c r="H589" s="7">
        <v>393</v>
      </c>
      <c r="I589" s="11">
        <v>0.79</v>
      </c>
    </row>
    <row r="590" spans="1:9">
      <c r="A590" s="7" t="s">
        <v>729</v>
      </c>
      <c r="B590" s="7">
        <v>4239</v>
      </c>
      <c r="C590" s="7" t="str">
        <f t="shared" si="26"/>
        <v>070241000</v>
      </c>
      <c r="D590" s="7" t="s">
        <v>746</v>
      </c>
      <c r="E590" s="7">
        <v>5040</v>
      </c>
      <c r="F590" s="7" t="str">
        <f>"070241211"</f>
        <v>070241211</v>
      </c>
      <c r="H590" s="7">
        <v>3066</v>
      </c>
      <c r="I590" s="11">
        <v>0.19</v>
      </c>
    </row>
    <row r="591" spans="1:9">
      <c r="A591" s="7" t="s">
        <v>729</v>
      </c>
      <c r="B591" s="7">
        <v>4239</v>
      </c>
      <c r="C591" s="7" t="str">
        <f t="shared" si="26"/>
        <v>070241000</v>
      </c>
      <c r="D591" s="7" t="s">
        <v>747</v>
      </c>
      <c r="E591" s="7">
        <v>6006</v>
      </c>
      <c r="F591" s="7" t="str">
        <f>"070241123"</f>
        <v>070241123</v>
      </c>
      <c r="H591" s="7">
        <v>1278</v>
      </c>
      <c r="I591" s="11">
        <v>0.33</v>
      </c>
    </row>
    <row r="592" spans="1:9">
      <c r="A592" s="7" t="s">
        <v>729</v>
      </c>
      <c r="B592" s="7">
        <v>4239</v>
      </c>
      <c r="C592" s="7" t="str">
        <f t="shared" si="26"/>
        <v>070241000</v>
      </c>
      <c r="D592" s="7" t="s">
        <v>748</v>
      </c>
      <c r="E592" s="7">
        <v>88401</v>
      </c>
      <c r="F592" s="7" t="str">
        <f>"070241166"</f>
        <v>070241166</v>
      </c>
      <c r="H592" s="7">
        <v>807</v>
      </c>
      <c r="I592" s="11">
        <v>0.19</v>
      </c>
    </row>
    <row r="593" spans="1:9">
      <c r="A593" s="7" t="s">
        <v>729</v>
      </c>
      <c r="B593" s="7">
        <v>4239</v>
      </c>
      <c r="C593" s="7" t="str">
        <f t="shared" si="26"/>
        <v>070241000</v>
      </c>
      <c r="D593" s="7" t="s">
        <v>749</v>
      </c>
      <c r="E593" s="7">
        <v>5028</v>
      </c>
      <c r="F593" s="7" t="str">
        <f>"070241145"</f>
        <v>070241145</v>
      </c>
      <c r="H593" s="7">
        <v>485</v>
      </c>
      <c r="I593" s="11">
        <v>0.45</v>
      </c>
    </row>
    <row r="594" spans="1:9">
      <c r="A594" s="7" t="s">
        <v>729</v>
      </c>
      <c r="B594" s="7">
        <v>4239</v>
      </c>
      <c r="C594" s="7" t="str">
        <f t="shared" si="26"/>
        <v>070241000</v>
      </c>
      <c r="D594" s="7" t="s">
        <v>750</v>
      </c>
      <c r="E594" s="7">
        <v>87533</v>
      </c>
      <c r="F594" s="7" t="str">
        <f>"070241165"</f>
        <v>070241165</v>
      </c>
      <c r="H594" s="7">
        <v>895</v>
      </c>
      <c r="I594" s="11">
        <v>0.27</v>
      </c>
    </row>
    <row r="595" spans="1:9">
      <c r="A595" s="7" t="s">
        <v>729</v>
      </c>
      <c r="B595" s="7">
        <v>4239</v>
      </c>
      <c r="C595" s="7" t="str">
        <f t="shared" si="26"/>
        <v>070241000</v>
      </c>
      <c r="D595" s="7" t="s">
        <v>301</v>
      </c>
      <c r="E595" s="7">
        <v>5032</v>
      </c>
      <c r="F595" s="7" t="str">
        <f>"070241149"</f>
        <v>070241149</v>
      </c>
      <c r="H595" s="7">
        <v>624</v>
      </c>
      <c r="I595" s="11">
        <v>0.31</v>
      </c>
    </row>
    <row r="596" spans="1:9">
      <c r="A596" s="7" t="s">
        <v>729</v>
      </c>
      <c r="B596" s="7">
        <v>4239</v>
      </c>
      <c r="C596" s="7" t="str">
        <f t="shared" si="26"/>
        <v>070241000</v>
      </c>
      <c r="D596" s="7" t="s">
        <v>751</v>
      </c>
      <c r="E596" s="7">
        <v>6007</v>
      </c>
      <c r="F596" s="7" t="str">
        <f>"070241212"</f>
        <v>070241212</v>
      </c>
      <c r="H596" s="7">
        <v>1374</v>
      </c>
      <c r="I596" s="11">
        <v>0.41</v>
      </c>
    </row>
    <row r="597" spans="1:9">
      <c r="A597" s="7" t="s">
        <v>729</v>
      </c>
      <c r="B597" s="7">
        <v>4239</v>
      </c>
      <c r="C597" s="7" t="str">
        <f t="shared" si="26"/>
        <v>070241000</v>
      </c>
      <c r="D597" s="7" t="s">
        <v>752</v>
      </c>
      <c r="E597" s="7">
        <v>5021</v>
      </c>
      <c r="F597" s="7" t="str">
        <f>"070241121"</f>
        <v>070241121</v>
      </c>
      <c r="H597" s="7">
        <v>770</v>
      </c>
      <c r="I597" s="11">
        <v>0.56999999999999995</v>
      </c>
    </row>
    <row r="598" spans="1:9">
      <c r="A598" s="7" t="s">
        <v>729</v>
      </c>
      <c r="B598" s="7">
        <v>4239</v>
      </c>
      <c r="C598" s="7" t="str">
        <f t="shared" si="26"/>
        <v>070241000</v>
      </c>
      <c r="D598" s="7" t="s">
        <v>753</v>
      </c>
      <c r="E598" s="7">
        <v>5026</v>
      </c>
      <c r="F598" s="7" t="str">
        <f>"070241143"</f>
        <v>070241143</v>
      </c>
      <c r="H598" s="7">
        <v>847</v>
      </c>
      <c r="I598" s="11">
        <v>0.23</v>
      </c>
    </row>
    <row r="599" spans="1:9">
      <c r="A599" s="7" t="s">
        <v>729</v>
      </c>
      <c r="B599" s="7">
        <v>4239</v>
      </c>
      <c r="C599" s="7" t="str">
        <f t="shared" si="26"/>
        <v>070241000</v>
      </c>
      <c r="D599" s="7" t="s">
        <v>754</v>
      </c>
      <c r="E599" s="7">
        <v>78918</v>
      </c>
      <c r="F599" s="7" t="str">
        <f>"070241157"</f>
        <v>070241157</v>
      </c>
      <c r="H599" s="7">
        <v>403</v>
      </c>
      <c r="I599" s="11">
        <v>0.55000000000000004</v>
      </c>
    </row>
    <row r="600" spans="1:9">
      <c r="A600" s="7" t="s">
        <v>729</v>
      </c>
      <c r="B600" s="7">
        <v>4239</v>
      </c>
      <c r="C600" s="7" t="str">
        <f t="shared" si="26"/>
        <v>070241000</v>
      </c>
      <c r="D600" s="7" t="s">
        <v>755</v>
      </c>
      <c r="E600" s="7">
        <v>5025</v>
      </c>
      <c r="F600" s="7" t="str">
        <f>"070241142"</f>
        <v>070241142</v>
      </c>
      <c r="H600" s="7">
        <v>543</v>
      </c>
      <c r="I600" s="11">
        <v>0.36</v>
      </c>
    </row>
    <row r="601" spans="1:9">
      <c r="A601" s="7" t="s">
        <v>729</v>
      </c>
      <c r="B601" s="7">
        <v>4239</v>
      </c>
      <c r="C601" s="7" t="str">
        <f t="shared" si="26"/>
        <v>070241000</v>
      </c>
      <c r="D601" s="7" t="s">
        <v>756</v>
      </c>
      <c r="E601" s="7">
        <v>5027</v>
      </c>
      <c r="F601" s="7" t="str">
        <f>"070241144"</f>
        <v>070241144</v>
      </c>
      <c r="H601" s="7">
        <v>360</v>
      </c>
      <c r="I601" s="11">
        <v>0.48</v>
      </c>
    </row>
    <row r="602" spans="1:9">
      <c r="A602" s="7" t="s">
        <v>729</v>
      </c>
      <c r="B602" s="7">
        <v>4239</v>
      </c>
      <c r="C602" s="7" t="str">
        <f t="shared" si="26"/>
        <v>070241000</v>
      </c>
      <c r="D602" s="7" t="s">
        <v>757</v>
      </c>
      <c r="E602" s="7">
        <v>5034</v>
      </c>
      <c r="F602" s="7" t="str">
        <f>"070241151"</f>
        <v>070241151</v>
      </c>
      <c r="H602" s="7">
        <v>500</v>
      </c>
      <c r="I602" s="11">
        <v>0.44</v>
      </c>
    </row>
    <row r="603" spans="1:9">
      <c r="A603" s="7" t="s">
        <v>729</v>
      </c>
      <c r="B603" s="7">
        <v>4239</v>
      </c>
      <c r="C603" s="7" t="str">
        <f t="shared" si="26"/>
        <v>070241000</v>
      </c>
      <c r="D603" s="7" t="s">
        <v>758</v>
      </c>
      <c r="E603" s="7">
        <v>89594</v>
      </c>
      <c r="F603" s="7" t="str">
        <f>"070241167"</f>
        <v>070241167</v>
      </c>
      <c r="H603" s="7">
        <v>523</v>
      </c>
      <c r="I603" s="11">
        <v>0.23</v>
      </c>
    </row>
    <row r="604" spans="1:9">
      <c r="A604" s="7" t="s">
        <v>729</v>
      </c>
      <c r="B604" s="7">
        <v>4239</v>
      </c>
      <c r="C604" s="7" t="str">
        <f t="shared" si="26"/>
        <v>070241000</v>
      </c>
      <c r="D604" s="7" t="s">
        <v>759</v>
      </c>
      <c r="E604" s="7">
        <v>78919</v>
      </c>
      <c r="F604" s="7" t="str">
        <f>"070241158"</f>
        <v>070241158</v>
      </c>
      <c r="H604" s="7">
        <v>580</v>
      </c>
      <c r="I604" s="11">
        <v>0.34</v>
      </c>
    </row>
    <row r="605" spans="1:9">
      <c r="A605" s="7" t="s">
        <v>729</v>
      </c>
      <c r="B605" s="7">
        <v>4239</v>
      </c>
      <c r="C605" s="7" t="str">
        <f t="shared" si="26"/>
        <v>070241000</v>
      </c>
      <c r="D605" s="7" t="s">
        <v>760</v>
      </c>
      <c r="E605" s="7">
        <v>5036</v>
      </c>
      <c r="F605" s="7" t="str">
        <f>"070241154"</f>
        <v>070241154</v>
      </c>
      <c r="H605" s="7">
        <v>538</v>
      </c>
      <c r="I605" s="11">
        <v>0.34</v>
      </c>
    </row>
    <row r="606" spans="1:9">
      <c r="A606" s="7" t="s">
        <v>729</v>
      </c>
      <c r="B606" s="7">
        <v>4239</v>
      </c>
      <c r="C606" s="7" t="str">
        <f t="shared" si="26"/>
        <v>070241000</v>
      </c>
      <c r="D606" s="7" t="s">
        <v>761</v>
      </c>
      <c r="E606" s="7">
        <v>85847</v>
      </c>
      <c r="F606" s="7" t="str">
        <f>"070241125"</f>
        <v>070241125</v>
      </c>
      <c r="H606" s="7">
        <v>819</v>
      </c>
      <c r="I606" s="11">
        <v>0.25</v>
      </c>
    </row>
    <row r="607" spans="1:9">
      <c r="A607" s="7" t="s">
        <v>729</v>
      </c>
      <c r="B607" s="7">
        <v>4239</v>
      </c>
      <c r="C607" s="7" t="str">
        <f t="shared" si="26"/>
        <v>070241000</v>
      </c>
      <c r="D607" s="7" t="s">
        <v>762</v>
      </c>
      <c r="E607" s="7">
        <v>81145</v>
      </c>
      <c r="F607" s="7" t="str">
        <f>"070241164"</f>
        <v>070241164</v>
      </c>
      <c r="H607" s="7">
        <v>619</v>
      </c>
      <c r="I607" s="11">
        <v>0.3</v>
      </c>
    </row>
    <row r="608" spans="1:9">
      <c r="A608" s="7" t="s">
        <v>729</v>
      </c>
      <c r="B608" s="7">
        <v>4239</v>
      </c>
      <c r="C608" s="7" t="str">
        <f t="shared" si="26"/>
        <v>070241000</v>
      </c>
      <c r="D608" s="7" t="s">
        <v>763</v>
      </c>
      <c r="E608" s="7">
        <v>5037</v>
      </c>
      <c r="F608" s="7" t="str">
        <f>"070241155"</f>
        <v>070241155</v>
      </c>
      <c r="H608" s="7">
        <v>826</v>
      </c>
      <c r="I608" s="11">
        <v>0.36</v>
      </c>
    </row>
    <row r="609" spans="1:9" ht="28.5">
      <c r="A609" s="7" t="s">
        <v>729</v>
      </c>
      <c r="B609" s="7">
        <v>4239</v>
      </c>
      <c r="C609" s="7" t="str">
        <f t="shared" si="26"/>
        <v>070241000</v>
      </c>
      <c r="D609" s="7" t="s">
        <v>764</v>
      </c>
      <c r="E609" s="7">
        <v>5035</v>
      </c>
      <c r="F609" s="7" t="str">
        <f>"070241152"</f>
        <v>070241152</v>
      </c>
      <c r="H609" s="7">
        <v>685</v>
      </c>
      <c r="I609" s="11">
        <v>0.33</v>
      </c>
    </row>
    <row r="610" spans="1:9">
      <c r="A610" s="7" t="s">
        <v>729</v>
      </c>
      <c r="B610" s="7">
        <v>4239</v>
      </c>
      <c r="C610" s="7" t="str">
        <f t="shared" si="26"/>
        <v>070241000</v>
      </c>
      <c r="D610" s="7" t="s">
        <v>765</v>
      </c>
      <c r="E610" s="7">
        <v>5031</v>
      </c>
      <c r="F610" s="7" t="str">
        <f>"070241148"</f>
        <v>070241148</v>
      </c>
      <c r="H610" s="7">
        <v>545</v>
      </c>
      <c r="I610" s="11">
        <v>0.31</v>
      </c>
    </row>
    <row r="611" spans="1:9">
      <c r="A611" s="7" t="s">
        <v>766</v>
      </c>
      <c r="B611" s="7">
        <v>4271</v>
      </c>
      <c r="C611" s="7" t="str">
        <f t="shared" ref="C611:C624" si="27">"070440000"</f>
        <v>070440000</v>
      </c>
      <c r="D611" s="7" t="s">
        <v>767</v>
      </c>
      <c r="E611" s="7">
        <v>5343</v>
      </c>
      <c r="F611" s="7" t="str">
        <f>"070440112"</f>
        <v>070440112</v>
      </c>
      <c r="H611" s="7">
        <v>796</v>
      </c>
      <c r="I611" s="11">
        <v>0.74</v>
      </c>
    </row>
    <row r="612" spans="1:9" ht="28.5">
      <c r="A612" s="7" t="s">
        <v>766</v>
      </c>
      <c r="B612" s="7">
        <v>4271</v>
      </c>
      <c r="C612" s="7" t="str">
        <f t="shared" si="27"/>
        <v>070440000</v>
      </c>
      <c r="D612" s="7" t="s">
        <v>768</v>
      </c>
      <c r="E612" s="7">
        <v>5342</v>
      </c>
      <c r="F612" s="7" t="str">
        <f>"070440111"</f>
        <v>070440111</v>
      </c>
      <c r="G612" s="7" t="s">
        <v>16</v>
      </c>
      <c r="H612" s="7">
        <v>887</v>
      </c>
      <c r="I612" s="12">
        <v>0.94</v>
      </c>
    </row>
    <row r="613" spans="1:9">
      <c r="A613" s="7" t="s">
        <v>766</v>
      </c>
      <c r="B613" s="7">
        <v>4271</v>
      </c>
      <c r="C613" s="7" t="str">
        <f t="shared" si="27"/>
        <v>070440000</v>
      </c>
      <c r="D613" s="7" t="s">
        <v>769</v>
      </c>
      <c r="E613" s="7">
        <v>5345</v>
      </c>
      <c r="F613" s="7" t="str">
        <f>"070440114"</f>
        <v>070440114</v>
      </c>
      <c r="H613" s="7">
        <v>255</v>
      </c>
      <c r="I613" s="11">
        <v>0.73</v>
      </c>
    </row>
    <row r="614" spans="1:9">
      <c r="A614" s="7" t="s">
        <v>766</v>
      </c>
      <c r="B614" s="7">
        <v>4271</v>
      </c>
      <c r="C614" s="7" t="str">
        <f t="shared" si="27"/>
        <v>070440000</v>
      </c>
      <c r="D614" s="7" t="s">
        <v>770</v>
      </c>
      <c r="E614" s="7">
        <v>79815</v>
      </c>
      <c r="F614" s="7" t="str">
        <f>"070440116"</f>
        <v>070440116</v>
      </c>
      <c r="H614" s="7">
        <v>718</v>
      </c>
      <c r="I614" s="11">
        <v>0.84</v>
      </c>
    </row>
    <row r="615" spans="1:9">
      <c r="A615" s="7" t="s">
        <v>766</v>
      </c>
      <c r="B615" s="7">
        <v>4271</v>
      </c>
      <c r="C615" s="7" t="str">
        <f t="shared" si="27"/>
        <v>070440000</v>
      </c>
      <c r="D615" s="7" t="s">
        <v>771</v>
      </c>
      <c r="E615" s="7">
        <v>5344</v>
      </c>
      <c r="F615" s="7" t="str">
        <f>"070440113"</f>
        <v>070440113</v>
      </c>
      <c r="H615" s="7">
        <v>670</v>
      </c>
      <c r="I615" s="11">
        <v>0.75</v>
      </c>
    </row>
    <row r="616" spans="1:9" ht="28.5">
      <c r="A616" s="7" t="s">
        <v>766</v>
      </c>
      <c r="B616" s="7">
        <v>4271</v>
      </c>
      <c r="C616" s="7" t="str">
        <f t="shared" si="27"/>
        <v>070440000</v>
      </c>
      <c r="D616" s="7" t="s">
        <v>772</v>
      </c>
      <c r="E616" s="7">
        <v>5337</v>
      </c>
      <c r="F616" s="7" t="str">
        <f>"070440106"</f>
        <v>070440106</v>
      </c>
      <c r="G616" s="7" t="s">
        <v>16</v>
      </c>
      <c r="H616" s="7">
        <v>578</v>
      </c>
      <c r="I616" s="12">
        <v>0.89</v>
      </c>
    </row>
    <row r="617" spans="1:9">
      <c r="A617" s="7" t="s">
        <v>766</v>
      </c>
      <c r="B617" s="7">
        <v>4271</v>
      </c>
      <c r="C617" s="7" t="str">
        <f t="shared" si="27"/>
        <v>070440000</v>
      </c>
      <c r="D617" s="7" t="s">
        <v>773</v>
      </c>
      <c r="E617" s="7">
        <v>5339</v>
      </c>
      <c r="F617" s="7" t="str">
        <f>"070440108"</f>
        <v>070440108</v>
      </c>
      <c r="H617" s="7">
        <v>690</v>
      </c>
      <c r="I617" s="11">
        <v>0.76</v>
      </c>
    </row>
    <row r="618" spans="1:9" ht="28.5">
      <c r="A618" s="7" t="s">
        <v>766</v>
      </c>
      <c r="B618" s="7">
        <v>4271</v>
      </c>
      <c r="C618" s="7" t="str">
        <f t="shared" si="27"/>
        <v>070440000</v>
      </c>
      <c r="D618" s="7" t="s">
        <v>774</v>
      </c>
      <c r="E618" s="7">
        <v>5332</v>
      </c>
      <c r="F618" s="7" t="str">
        <f>"070440101"</f>
        <v>070440101</v>
      </c>
      <c r="G618" s="7" t="s">
        <v>16</v>
      </c>
      <c r="H618" s="7">
        <v>691</v>
      </c>
      <c r="I618" s="12">
        <v>0.94</v>
      </c>
    </row>
    <row r="619" spans="1:9" ht="28.5">
      <c r="A619" s="7" t="s">
        <v>766</v>
      </c>
      <c r="B619" s="7">
        <v>4271</v>
      </c>
      <c r="C619" s="7" t="str">
        <f t="shared" si="27"/>
        <v>070440000</v>
      </c>
      <c r="D619" s="7" t="s">
        <v>775</v>
      </c>
      <c r="E619" s="7">
        <v>5338</v>
      </c>
      <c r="F619" s="7" t="str">
        <f>"070440107"</f>
        <v>070440107</v>
      </c>
      <c r="G619" s="7" t="s">
        <v>16</v>
      </c>
      <c r="H619" s="7">
        <v>617</v>
      </c>
      <c r="I619" s="12">
        <v>0.89</v>
      </c>
    </row>
    <row r="620" spans="1:9" ht="28.5">
      <c r="A620" s="7" t="s">
        <v>766</v>
      </c>
      <c r="B620" s="7">
        <v>4271</v>
      </c>
      <c r="C620" s="7" t="str">
        <f t="shared" si="27"/>
        <v>070440000</v>
      </c>
      <c r="D620" s="7" t="s">
        <v>776</v>
      </c>
      <c r="E620" s="7">
        <v>5334</v>
      </c>
      <c r="F620" s="7" t="str">
        <f>"070440103"</f>
        <v>070440103</v>
      </c>
      <c r="G620" s="7" t="s">
        <v>16</v>
      </c>
      <c r="H620" s="7">
        <v>695</v>
      </c>
      <c r="I620" s="12">
        <v>0.93</v>
      </c>
    </row>
    <row r="621" spans="1:9">
      <c r="A621" s="7" t="s">
        <v>766</v>
      </c>
      <c r="B621" s="7">
        <v>4271</v>
      </c>
      <c r="C621" s="7" t="str">
        <f t="shared" si="27"/>
        <v>070440000</v>
      </c>
      <c r="D621" s="7" t="s">
        <v>777</v>
      </c>
      <c r="E621" s="7">
        <v>5341</v>
      </c>
      <c r="F621" s="7" t="str">
        <f>"070440110"</f>
        <v>070440110</v>
      </c>
      <c r="H621" s="7">
        <v>924</v>
      </c>
      <c r="I621" s="11">
        <v>0.77</v>
      </c>
    </row>
    <row r="622" spans="1:9">
      <c r="A622" s="7" t="s">
        <v>766</v>
      </c>
      <c r="B622" s="7">
        <v>4271</v>
      </c>
      <c r="C622" s="7" t="str">
        <f t="shared" si="27"/>
        <v>070440000</v>
      </c>
      <c r="D622" s="7" t="s">
        <v>778</v>
      </c>
      <c r="E622" s="7">
        <v>79816</v>
      </c>
      <c r="F622" s="7" t="str">
        <f>"070440117"</f>
        <v>070440117</v>
      </c>
      <c r="H622" s="7">
        <v>738</v>
      </c>
      <c r="I622" s="11">
        <v>0.85</v>
      </c>
    </row>
    <row r="623" spans="1:9" ht="28.5">
      <c r="A623" s="7" t="s">
        <v>766</v>
      </c>
      <c r="B623" s="7">
        <v>4271</v>
      </c>
      <c r="C623" s="7" t="str">
        <f t="shared" si="27"/>
        <v>070440000</v>
      </c>
      <c r="D623" s="7" t="s">
        <v>779</v>
      </c>
      <c r="E623" s="7">
        <v>7364</v>
      </c>
      <c r="F623" s="7" t="str">
        <f>"072167001"</f>
        <v>072167001</v>
      </c>
      <c r="H623" s="7">
        <v>65</v>
      </c>
      <c r="I623" s="11">
        <v>0.56999999999999995</v>
      </c>
    </row>
    <row r="624" spans="1:9" ht="28.5">
      <c r="A624" s="7" t="s">
        <v>766</v>
      </c>
      <c r="B624" s="7">
        <v>4271</v>
      </c>
      <c r="C624" s="7" t="str">
        <f t="shared" si="27"/>
        <v>070440000</v>
      </c>
      <c r="D624" s="7" t="s">
        <v>780</v>
      </c>
      <c r="E624" s="7">
        <v>5336</v>
      </c>
      <c r="F624" s="7" t="str">
        <f>"070440105"</f>
        <v>070440105</v>
      </c>
      <c r="G624" s="7" t="s">
        <v>16</v>
      </c>
      <c r="H624" s="7">
        <v>859</v>
      </c>
      <c r="I624" s="12">
        <v>0.86</v>
      </c>
    </row>
    <row r="625" spans="1:9">
      <c r="A625" s="7" t="s">
        <v>781</v>
      </c>
      <c r="B625" s="7">
        <v>4285</v>
      </c>
      <c r="C625" s="7" t="str">
        <f t="shared" ref="C625:C634" si="28">"070505000"</f>
        <v>070505000</v>
      </c>
      <c r="D625" s="7" t="s">
        <v>782</v>
      </c>
      <c r="E625" s="7">
        <v>5431</v>
      </c>
      <c r="F625" s="7" t="str">
        <f>"070505206"</f>
        <v>070505206</v>
      </c>
      <c r="H625" s="7">
        <v>2252</v>
      </c>
      <c r="I625" s="11">
        <v>0.69</v>
      </c>
    </row>
    <row r="626" spans="1:9">
      <c r="A626" s="7" t="s">
        <v>781</v>
      </c>
      <c r="B626" s="7">
        <v>4285</v>
      </c>
      <c r="C626" s="7" t="str">
        <f t="shared" si="28"/>
        <v>070505000</v>
      </c>
      <c r="D626" s="7" t="s">
        <v>783</v>
      </c>
      <c r="E626" s="7">
        <v>5429</v>
      </c>
      <c r="F626" s="7" t="str">
        <f>"070505204"</f>
        <v>070505204</v>
      </c>
      <c r="H626" s="7">
        <v>1123</v>
      </c>
      <c r="I626" s="11">
        <v>0.76</v>
      </c>
    </row>
    <row r="627" spans="1:9">
      <c r="A627" s="7" t="s">
        <v>781</v>
      </c>
      <c r="B627" s="7">
        <v>4285</v>
      </c>
      <c r="C627" s="7" t="str">
        <f t="shared" si="28"/>
        <v>070505000</v>
      </c>
      <c r="D627" s="7" t="s">
        <v>784</v>
      </c>
      <c r="E627" s="7">
        <v>5426</v>
      </c>
      <c r="F627" s="7" t="str">
        <f>"070505201"</f>
        <v>070505201</v>
      </c>
      <c r="H627" s="7">
        <v>1836</v>
      </c>
      <c r="I627" s="11">
        <v>0.83</v>
      </c>
    </row>
    <row r="628" spans="1:9" ht="28.5">
      <c r="A628" s="7" t="s">
        <v>781</v>
      </c>
      <c r="B628" s="7">
        <v>4285</v>
      </c>
      <c r="C628" s="7" t="str">
        <f t="shared" si="28"/>
        <v>070505000</v>
      </c>
      <c r="D628" s="7" t="s">
        <v>785</v>
      </c>
      <c r="E628" s="7">
        <v>5435</v>
      </c>
      <c r="F628" s="7" t="str">
        <f>"070505210"</f>
        <v>070505210</v>
      </c>
      <c r="H628" s="7">
        <v>532</v>
      </c>
      <c r="I628" s="11">
        <v>0.61</v>
      </c>
    </row>
    <row r="629" spans="1:9">
      <c r="A629" s="7" t="s">
        <v>781</v>
      </c>
      <c r="B629" s="7">
        <v>4285</v>
      </c>
      <c r="C629" s="7" t="str">
        <f t="shared" si="28"/>
        <v>070505000</v>
      </c>
      <c r="D629" s="7" t="s">
        <v>786</v>
      </c>
      <c r="E629" s="7">
        <v>5433</v>
      </c>
      <c r="F629" s="7" t="str">
        <f>"070505208"</f>
        <v>070505208</v>
      </c>
      <c r="H629" s="7">
        <v>1391</v>
      </c>
      <c r="I629" s="11">
        <v>0.53</v>
      </c>
    </row>
    <row r="630" spans="1:9">
      <c r="A630" s="7" t="s">
        <v>781</v>
      </c>
      <c r="B630" s="7">
        <v>4285</v>
      </c>
      <c r="C630" s="7" t="str">
        <f t="shared" si="28"/>
        <v>070505000</v>
      </c>
      <c r="D630" s="7" t="s">
        <v>787</v>
      </c>
      <c r="E630" s="7">
        <v>5434</v>
      </c>
      <c r="F630" s="7" t="str">
        <f>"070505209"</f>
        <v>070505209</v>
      </c>
      <c r="H630" s="7">
        <v>2068</v>
      </c>
      <c r="I630" s="11">
        <v>0.77</v>
      </c>
    </row>
    <row r="631" spans="1:9">
      <c r="A631" s="7" t="s">
        <v>781</v>
      </c>
      <c r="B631" s="7">
        <v>4285</v>
      </c>
      <c r="C631" s="7" t="str">
        <f t="shared" si="28"/>
        <v>070505000</v>
      </c>
      <c r="D631" s="7" t="s">
        <v>788</v>
      </c>
      <c r="E631" s="7">
        <v>5430</v>
      </c>
      <c r="F631" s="7" t="str">
        <f>"070505205"</f>
        <v>070505205</v>
      </c>
      <c r="H631" s="7">
        <v>1487</v>
      </c>
      <c r="I631" s="11">
        <v>0.67</v>
      </c>
    </row>
    <row r="632" spans="1:9">
      <c r="A632" s="7" t="s">
        <v>781</v>
      </c>
      <c r="B632" s="7">
        <v>4285</v>
      </c>
      <c r="C632" s="7" t="str">
        <f t="shared" si="28"/>
        <v>070505000</v>
      </c>
      <c r="D632" s="7" t="s">
        <v>789</v>
      </c>
      <c r="E632" s="7">
        <v>5427</v>
      </c>
      <c r="F632" s="7" t="str">
        <f>"070505202"</f>
        <v>070505202</v>
      </c>
      <c r="H632" s="7">
        <v>2287</v>
      </c>
      <c r="I632" s="11">
        <v>0.5</v>
      </c>
    </row>
    <row r="633" spans="1:9">
      <c r="A633" s="7" t="s">
        <v>781</v>
      </c>
      <c r="B633" s="7">
        <v>4285</v>
      </c>
      <c r="C633" s="7" t="str">
        <f t="shared" si="28"/>
        <v>070505000</v>
      </c>
      <c r="D633" s="7" t="s">
        <v>790</v>
      </c>
      <c r="E633" s="7">
        <v>5432</v>
      </c>
      <c r="F633" s="7" t="str">
        <f>"070505207"</f>
        <v>070505207</v>
      </c>
      <c r="H633" s="7">
        <v>1637</v>
      </c>
      <c r="I633" s="11">
        <v>0.51</v>
      </c>
    </row>
    <row r="634" spans="1:9">
      <c r="A634" s="7" t="s">
        <v>781</v>
      </c>
      <c r="B634" s="7">
        <v>4285</v>
      </c>
      <c r="C634" s="7" t="str">
        <f t="shared" si="28"/>
        <v>070505000</v>
      </c>
      <c r="D634" s="7" t="s">
        <v>791</v>
      </c>
      <c r="E634" s="7">
        <v>5428</v>
      </c>
      <c r="F634" s="7" t="str">
        <f>"070505203"</f>
        <v>070505203</v>
      </c>
      <c r="H634" s="7">
        <v>1733</v>
      </c>
      <c r="I634" s="11">
        <v>0.76</v>
      </c>
    </row>
    <row r="635" spans="1:9">
      <c r="A635" s="7" t="s">
        <v>792</v>
      </c>
      <c r="B635" s="7">
        <v>4208</v>
      </c>
      <c r="C635" s="7" t="str">
        <f>"040201000"</f>
        <v>040201000</v>
      </c>
      <c r="D635" s="7" t="s">
        <v>793</v>
      </c>
      <c r="E635" s="7">
        <v>4854</v>
      </c>
      <c r="F635" s="7" t="str">
        <f>"040201003"</f>
        <v>040201003</v>
      </c>
      <c r="H635" s="7">
        <v>755</v>
      </c>
      <c r="I635" s="11">
        <v>0.66</v>
      </c>
    </row>
    <row r="636" spans="1:9">
      <c r="A636" s="7" t="s">
        <v>792</v>
      </c>
      <c r="B636" s="7">
        <v>4208</v>
      </c>
      <c r="C636" s="7" t="str">
        <f>"040201000"</f>
        <v>040201000</v>
      </c>
      <c r="D636" s="7" t="s">
        <v>794</v>
      </c>
      <c r="E636" s="7">
        <v>4855</v>
      </c>
      <c r="F636" s="7" t="str">
        <f>"040201004"</f>
        <v>040201004</v>
      </c>
      <c r="H636" s="7">
        <v>521</v>
      </c>
      <c r="I636" s="11">
        <v>0.54</v>
      </c>
    </row>
    <row r="637" spans="1:9">
      <c r="A637" s="7" t="s">
        <v>792</v>
      </c>
      <c r="B637" s="7">
        <v>4208</v>
      </c>
      <c r="C637" s="7" t="str">
        <f>"040201000"</f>
        <v>040201000</v>
      </c>
      <c r="D637" s="7" t="s">
        <v>795</v>
      </c>
      <c r="E637" s="7">
        <v>85831</v>
      </c>
      <c r="F637" s="7" t="str">
        <f>"040201105"</f>
        <v>040201105</v>
      </c>
      <c r="H637" s="7">
        <v>409</v>
      </c>
      <c r="I637" s="11">
        <v>0.65</v>
      </c>
    </row>
    <row r="638" spans="1:9">
      <c r="A638" s="7" t="s">
        <v>796</v>
      </c>
      <c r="B638" s="7">
        <v>4194</v>
      </c>
      <c r="C638" s="7" t="str">
        <f>"030204000"</f>
        <v>030204000</v>
      </c>
      <c r="D638" s="7" t="s">
        <v>797</v>
      </c>
      <c r="E638" s="7">
        <v>4824</v>
      </c>
      <c r="F638" s="7" t="str">
        <f>"030204001"</f>
        <v>030204001</v>
      </c>
      <c r="H638" s="7">
        <v>169</v>
      </c>
      <c r="I638" s="11">
        <v>0.57999999999999996</v>
      </c>
    </row>
    <row r="639" spans="1:9">
      <c r="A639" s="7" t="s">
        <v>796</v>
      </c>
      <c r="B639" s="7">
        <v>4194</v>
      </c>
      <c r="C639" s="7" t="str">
        <f>"030204000"</f>
        <v>030204000</v>
      </c>
      <c r="D639" s="7" t="s">
        <v>798</v>
      </c>
      <c r="E639" s="7">
        <v>4825</v>
      </c>
      <c r="F639" s="7" t="str">
        <f>"030204002"</f>
        <v>030204002</v>
      </c>
      <c r="H639" s="7">
        <v>78</v>
      </c>
      <c r="I639" s="11">
        <v>0.57999999999999996</v>
      </c>
    </row>
    <row r="640" spans="1:9" ht="28.5">
      <c r="A640" s="7" t="s">
        <v>799</v>
      </c>
      <c r="B640" s="7">
        <v>79793</v>
      </c>
      <c r="C640" s="7" t="str">
        <f>"033903000"</f>
        <v>033903000</v>
      </c>
      <c r="D640" s="7" t="s">
        <v>800</v>
      </c>
      <c r="E640" s="7">
        <v>4840</v>
      </c>
      <c r="F640" s="7" t="str">
        <f>"033904003"</f>
        <v>033904003</v>
      </c>
      <c r="G640" s="7" t="s">
        <v>16</v>
      </c>
      <c r="H640" s="7">
        <v>137</v>
      </c>
      <c r="I640" s="11">
        <v>0.79</v>
      </c>
    </row>
    <row r="641" spans="1:9" ht="28.5">
      <c r="A641" s="7" t="s">
        <v>801</v>
      </c>
      <c r="B641" s="7">
        <v>79500</v>
      </c>
      <c r="C641" s="7" t="str">
        <f>"108789000"</f>
        <v>108789000</v>
      </c>
      <c r="D641" s="7" t="s">
        <v>802</v>
      </c>
      <c r="E641" s="7">
        <v>79512</v>
      </c>
      <c r="F641" s="7" t="str">
        <f>"108789101"</f>
        <v>108789101</v>
      </c>
      <c r="G641" s="7" t="s">
        <v>16</v>
      </c>
      <c r="H641" s="7">
        <v>68</v>
      </c>
      <c r="I641" s="11">
        <v>0.95</v>
      </c>
    </row>
    <row r="642" spans="1:9" ht="28.5">
      <c r="A642" s="7" t="s">
        <v>801</v>
      </c>
      <c r="B642" s="7">
        <v>79500</v>
      </c>
      <c r="C642" s="7" t="str">
        <f>"108789000"</f>
        <v>108789000</v>
      </c>
      <c r="D642" s="7" t="s">
        <v>803</v>
      </c>
      <c r="E642" s="7">
        <v>90470</v>
      </c>
      <c r="F642" s="7" t="str">
        <f>"108789102"</f>
        <v>108789102</v>
      </c>
      <c r="G642" s="7" t="s">
        <v>16</v>
      </c>
      <c r="H642" s="7">
        <v>32</v>
      </c>
      <c r="I642" s="11">
        <v>0.78</v>
      </c>
    </row>
    <row r="643" spans="1:9">
      <c r="A643" s="7" t="s">
        <v>804</v>
      </c>
      <c r="B643" s="7">
        <v>4371</v>
      </c>
      <c r="C643" s="7" t="str">
        <f>"080303000"</f>
        <v>080303000</v>
      </c>
      <c r="D643" s="7" t="s">
        <v>805</v>
      </c>
      <c r="E643" s="7">
        <v>5570</v>
      </c>
      <c r="F643" s="7" t="str">
        <f>"080303002"</f>
        <v>080303002</v>
      </c>
      <c r="H643" s="7">
        <v>49</v>
      </c>
      <c r="I643" s="11">
        <v>0.88</v>
      </c>
    </row>
    <row r="644" spans="1:9">
      <c r="A644" s="7" t="s">
        <v>806</v>
      </c>
      <c r="B644" s="7">
        <v>90906</v>
      </c>
      <c r="C644" s="7" t="str">
        <f>"078594000"</f>
        <v>078594000</v>
      </c>
      <c r="D644" s="7" t="s">
        <v>807</v>
      </c>
      <c r="E644" s="7">
        <v>91818</v>
      </c>
      <c r="F644" s="7" t="str">
        <f>"078594001"</f>
        <v>078594001</v>
      </c>
      <c r="H644" s="7">
        <v>436</v>
      </c>
      <c r="I644" s="11">
        <v>0.55000000000000004</v>
      </c>
    </row>
    <row r="645" spans="1:9">
      <c r="A645" s="7" t="s">
        <v>808</v>
      </c>
      <c r="B645" s="7">
        <v>79081</v>
      </c>
      <c r="C645" s="7" t="str">
        <f>"078998000"</f>
        <v>078998000</v>
      </c>
      <c r="D645" s="7" t="s">
        <v>809</v>
      </c>
      <c r="E645" s="7">
        <v>78788</v>
      </c>
      <c r="F645" s="7" t="str">
        <f>"078989101"</f>
        <v>078989101</v>
      </c>
      <c r="H645" s="7">
        <v>677</v>
      </c>
      <c r="I645" s="11">
        <v>0.87</v>
      </c>
    </row>
    <row r="646" spans="1:9">
      <c r="A646" s="7" t="s">
        <v>808</v>
      </c>
      <c r="B646" s="7">
        <v>79081</v>
      </c>
      <c r="C646" s="7" t="str">
        <f>"078998000"</f>
        <v>078998000</v>
      </c>
      <c r="D646" s="7" t="s">
        <v>810</v>
      </c>
      <c r="E646" s="7">
        <v>79095</v>
      </c>
      <c r="F646" s="7" t="str">
        <f>"078998001"</f>
        <v>078998001</v>
      </c>
      <c r="H646" s="7">
        <v>563</v>
      </c>
      <c r="I646" s="11">
        <v>0.21</v>
      </c>
    </row>
    <row r="647" spans="1:9" ht="28.5">
      <c r="A647" s="7" t="s">
        <v>811</v>
      </c>
      <c r="B647" s="7">
        <v>79501</v>
      </c>
      <c r="C647" s="7" t="str">
        <f>"148760000"</f>
        <v>148760000</v>
      </c>
      <c r="D647" s="7" t="s">
        <v>812</v>
      </c>
      <c r="E647" s="7">
        <v>79513</v>
      </c>
      <c r="F647" s="7" t="str">
        <f>"148760101"</f>
        <v>148760101</v>
      </c>
      <c r="G647" s="7" t="s">
        <v>16</v>
      </c>
      <c r="H647" s="7">
        <v>1071</v>
      </c>
      <c r="I647" s="12">
        <v>0.81</v>
      </c>
    </row>
    <row r="648" spans="1:9" ht="28.5">
      <c r="A648" s="7" t="s">
        <v>811</v>
      </c>
      <c r="B648" s="7">
        <v>79501</v>
      </c>
      <c r="C648" s="7" t="str">
        <f>"148760000"</f>
        <v>148760000</v>
      </c>
      <c r="D648" s="7" t="s">
        <v>813</v>
      </c>
      <c r="E648" s="7">
        <v>90277</v>
      </c>
      <c r="F648" s="7" t="str">
        <f>"148760102"</f>
        <v>148760102</v>
      </c>
      <c r="G648" s="7" t="s">
        <v>16</v>
      </c>
      <c r="H648" s="7">
        <v>594</v>
      </c>
      <c r="I648" s="12">
        <v>0.82</v>
      </c>
    </row>
    <row r="649" spans="1:9" ht="28.5">
      <c r="A649" s="7" t="s">
        <v>814</v>
      </c>
      <c r="B649" s="7">
        <v>88454</v>
      </c>
      <c r="C649" s="7" t="str">
        <f>"099107000"</f>
        <v>099107000</v>
      </c>
      <c r="D649" s="7" t="s">
        <v>814</v>
      </c>
      <c r="E649" s="7">
        <v>80466</v>
      </c>
      <c r="F649" s="7" t="str">
        <f>"104001011"</f>
        <v>104001011</v>
      </c>
      <c r="G649" s="7" t="s">
        <v>16</v>
      </c>
      <c r="H649" s="7">
        <v>80</v>
      </c>
      <c r="I649" s="11">
        <v>0.86</v>
      </c>
    </row>
    <row r="650" spans="1:9" ht="28.5">
      <c r="A650" s="7" t="s">
        <v>815</v>
      </c>
      <c r="B650" s="7">
        <v>4212</v>
      </c>
      <c r="C650" s="7" t="str">
        <f>"040241000"</f>
        <v>040241000</v>
      </c>
      <c r="D650" s="7" t="s">
        <v>816</v>
      </c>
      <c r="E650" s="7">
        <v>4873</v>
      </c>
      <c r="F650" s="7" t="str">
        <f>"040241004"</f>
        <v>040241004</v>
      </c>
      <c r="G650" s="7" t="s">
        <v>16</v>
      </c>
      <c r="H650" s="7">
        <v>85</v>
      </c>
      <c r="I650" s="11">
        <v>0.68</v>
      </c>
    </row>
    <row r="651" spans="1:9" ht="28.5">
      <c r="A651" s="7" t="s">
        <v>815</v>
      </c>
      <c r="B651" s="7">
        <v>4212</v>
      </c>
      <c r="C651" s="7" t="str">
        <f>"040241000"</f>
        <v>040241000</v>
      </c>
      <c r="D651" s="7" t="s">
        <v>817</v>
      </c>
      <c r="E651" s="7">
        <v>4870</v>
      </c>
      <c r="F651" s="7" t="str">
        <f>"040241001"</f>
        <v>040241001</v>
      </c>
      <c r="G651" s="7" t="s">
        <v>16</v>
      </c>
      <c r="H651" s="7">
        <v>221</v>
      </c>
      <c r="I651" s="11">
        <v>0.91</v>
      </c>
    </row>
    <row r="652" spans="1:9">
      <c r="A652" s="7" t="s">
        <v>818</v>
      </c>
      <c r="B652" s="7">
        <v>4392</v>
      </c>
      <c r="C652" s="7" t="str">
        <f>"090206000"</f>
        <v>090206000</v>
      </c>
      <c r="D652" s="7" t="s">
        <v>819</v>
      </c>
      <c r="E652" s="7">
        <v>5623</v>
      </c>
      <c r="F652" s="7" t="str">
        <f>"090206102"</f>
        <v>090206102</v>
      </c>
      <c r="H652" s="7">
        <v>106</v>
      </c>
      <c r="I652" s="11">
        <v>0.57999999999999996</v>
      </c>
    </row>
    <row r="653" spans="1:9">
      <c r="A653" s="7" t="s">
        <v>818</v>
      </c>
      <c r="B653" s="7">
        <v>4392</v>
      </c>
      <c r="C653" s="7" t="str">
        <f>"090206000"</f>
        <v>090206000</v>
      </c>
      <c r="D653" s="7" t="s">
        <v>820</v>
      </c>
      <c r="E653" s="7">
        <v>5625</v>
      </c>
      <c r="F653" s="7" t="str">
        <f>"090206201"</f>
        <v>090206201</v>
      </c>
      <c r="H653" s="7">
        <v>259</v>
      </c>
      <c r="I653" s="11">
        <v>0.52</v>
      </c>
    </row>
    <row r="654" spans="1:9">
      <c r="A654" s="7" t="s">
        <v>818</v>
      </c>
      <c r="B654" s="7">
        <v>4392</v>
      </c>
      <c r="C654" s="7" t="str">
        <f>"090206000"</f>
        <v>090206000</v>
      </c>
      <c r="D654" s="7" t="s">
        <v>821</v>
      </c>
      <c r="E654" s="7">
        <v>6053</v>
      </c>
      <c r="F654" s="7" t="str">
        <f>"090206101"</f>
        <v>090206101</v>
      </c>
      <c r="H654" s="7">
        <v>171</v>
      </c>
      <c r="I654" s="11">
        <v>0.63</v>
      </c>
    </row>
    <row r="655" spans="1:9">
      <c r="A655" s="7" t="s">
        <v>822</v>
      </c>
      <c r="B655" s="7">
        <v>81076</v>
      </c>
      <c r="C655" s="7" t="str">
        <f>"078985000"</f>
        <v>078985000</v>
      </c>
      <c r="D655" s="7" t="s">
        <v>823</v>
      </c>
      <c r="E655" s="7">
        <v>89624</v>
      </c>
      <c r="F655" s="7" t="str">
        <f>"078985103"</f>
        <v>078985103</v>
      </c>
      <c r="H655" s="7">
        <v>61</v>
      </c>
      <c r="I655" s="11">
        <v>0.64</v>
      </c>
    </row>
    <row r="656" spans="1:9">
      <c r="A656" s="7" t="s">
        <v>822</v>
      </c>
      <c r="B656" s="7">
        <v>81076</v>
      </c>
      <c r="C656" s="7" t="str">
        <f>"078985000"</f>
        <v>078985000</v>
      </c>
      <c r="D656" s="7" t="s">
        <v>822</v>
      </c>
      <c r="E656" s="7">
        <v>81077</v>
      </c>
      <c r="F656" s="7" t="str">
        <f>"078985101"</f>
        <v>078985101</v>
      </c>
      <c r="H656" s="7">
        <v>855</v>
      </c>
      <c r="I656" s="11">
        <v>0.68</v>
      </c>
    </row>
    <row r="657" spans="1:9">
      <c r="A657" s="7" t="s">
        <v>822</v>
      </c>
      <c r="B657" s="7">
        <v>81076</v>
      </c>
      <c r="C657" s="7" t="str">
        <f>"078985000"</f>
        <v>078985000</v>
      </c>
      <c r="D657" s="7" t="s">
        <v>824</v>
      </c>
      <c r="E657" s="7">
        <v>1001887</v>
      </c>
      <c r="F657" s="7" t="str">
        <f>"078784105"</f>
        <v>078784105</v>
      </c>
      <c r="H657" s="7">
        <v>123</v>
      </c>
      <c r="I657" s="11">
        <v>0.62</v>
      </c>
    </row>
    <row r="658" spans="1:9">
      <c r="A658" s="7" t="s">
        <v>822</v>
      </c>
      <c r="B658" s="7">
        <v>81076</v>
      </c>
      <c r="C658" s="7" t="str">
        <f>"078985000"</f>
        <v>078985000</v>
      </c>
      <c r="D658" s="7" t="s">
        <v>825</v>
      </c>
      <c r="E658" s="7">
        <v>78811</v>
      </c>
      <c r="F658" s="7" t="str">
        <f>"078784101"</f>
        <v>078784101</v>
      </c>
      <c r="H658" s="7">
        <v>198</v>
      </c>
      <c r="I658" s="11">
        <v>0.89</v>
      </c>
    </row>
    <row r="659" spans="1:9" ht="28.5">
      <c r="A659" s="7" t="s">
        <v>822</v>
      </c>
      <c r="B659" s="7">
        <v>81076</v>
      </c>
      <c r="C659" s="7" t="str">
        <f>"078985000"</f>
        <v>078985000</v>
      </c>
      <c r="D659" s="7" t="s">
        <v>826</v>
      </c>
      <c r="E659" s="7">
        <v>91204</v>
      </c>
      <c r="F659" s="7" t="str">
        <f>"078784104"</f>
        <v>078784104</v>
      </c>
      <c r="H659" s="7">
        <v>254</v>
      </c>
      <c r="I659" s="11">
        <v>0.84</v>
      </c>
    </row>
    <row r="660" spans="1:9">
      <c r="A660" s="7" t="s">
        <v>827</v>
      </c>
      <c r="B660" s="7">
        <v>92982</v>
      </c>
      <c r="C660" s="7" t="str">
        <f>"078244000"</f>
        <v>078244000</v>
      </c>
      <c r="D660" s="7" t="s">
        <v>827</v>
      </c>
      <c r="E660" s="7">
        <v>703390</v>
      </c>
      <c r="F660" s="7" t="str">
        <f>"078244001"</f>
        <v>078244001</v>
      </c>
      <c r="H660" s="7">
        <v>503</v>
      </c>
      <c r="I660" s="11">
        <v>0.69</v>
      </c>
    </row>
    <row r="661" spans="1:9">
      <c r="A661" s="7" t="s">
        <v>827</v>
      </c>
      <c r="B661" s="7">
        <v>92982</v>
      </c>
      <c r="C661" s="7" t="str">
        <f>"078244000"</f>
        <v>078244000</v>
      </c>
      <c r="D661" s="7" t="s">
        <v>828</v>
      </c>
      <c r="E661" s="7">
        <v>1001524</v>
      </c>
      <c r="F661" s="7" t="str">
        <f>"078419201"</f>
        <v>078419201</v>
      </c>
      <c r="H661" s="7">
        <v>288</v>
      </c>
      <c r="I661" s="11">
        <v>0.53</v>
      </c>
    </row>
    <row r="662" spans="1:9">
      <c r="A662" s="7" t="s">
        <v>829</v>
      </c>
      <c r="B662" s="7">
        <v>4248</v>
      </c>
      <c r="C662" s="7" t="str">
        <f t="shared" ref="C662:C676" si="29">"070260000"</f>
        <v>070260000</v>
      </c>
      <c r="D662" s="7" t="s">
        <v>830</v>
      </c>
      <c r="E662" s="7">
        <v>93009</v>
      </c>
      <c r="F662" s="7" t="str">
        <f>"070260112"</f>
        <v>070260112</v>
      </c>
      <c r="H662" s="7">
        <v>774</v>
      </c>
      <c r="I662" s="11">
        <v>0.1</v>
      </c>
    </row>
    <row r="663" spans="1:9">
      <c r="A663" s="7" t="s">
        <v>829</v>
      </c>
      <c r="B663" s="7">
        <v>4248</v>
      </c>
      <c r="C663" s="7" t="str">
        <f t="shared" si="29"/>
        <v>070260000</v>
      </c>
      <c r="D663" s="7" t="s">
        <v>666</v>
      </c>
      <c r="E663" s="7">
        <v>90315</v>
      </c>
      <c r="F663" s="7" t="str">
        <f>"070260108"</f>
        <v>070260108</v>
      </c>
      <c r="H663" s="7">
        <v>634</v>
      </c>
      <c r="I663" s="11">
        <v>0.25</v>
      </c>
    </row>
    <row r="664" spans="1:9">
      <c r="A664" s="7" t="s">
        <v>829</v>
      </c>
      <c r="B664" s="7">
        <v>4248</v>
      </c>
      <c r="C664" s="7" t="str">
        <f t="shared" si="29"/>
        <v>070260000</v>
      </c>
      <c r="D664" s="7" t="s">
        <v>831</v>
      </c>
      <c r="E664" s="7">
        <v>89580</v>
      </c>
      <c r="F664" s="7" t="str">
        <f>"070260107"</f>
        <v>070260107</v>
      </c>
      <c r="H664" s="7">
        <v>783</v>
      </c>
      <c r="I664" s="11">
        <v>0.32</v>
      </c>
    </row>
    <row r="665" spans="1:9">
      <c r="A665" s="7" t="s">
        <v>829</v>
      </c>
      <c r="B665" s="7">
        <v>4248</v>
      </c>
      <c r="C665" s="7" t="str">
        <f t="shared" si="29"/>
        <v>070260000</v>
      </c>
      <c r="D665" s="7" t="s">
        <v>832</v>
      </c>
      <c r="E665" s="7">
        <v>92259</v>
      </c>
      <c r="F665" s="7" t="str">
        <f>"070260150"</f>
        <v>070260150</v>
      </c>
      <c r="H665" s="7">
        <v>846</v>
      </c>
      <c r="I665" s="11">
        <v>0.3</v>
      </c>
    </row>
    <row r="666" spans="1:9">
      <c r="A666" s="7" t="s">
        <v>829</v>
      </c>
      <c r="B666" s="7">
        <v>4248</v>
      </c>
      <c r="C666" s="7" t="str">
        <f t="shared" si="29"/>
        <v>070260000</v>
      </c>
      <c r="D666" s="7" t="s">
        <v>833</v>
      </c>
      <c r="E666" s="7">
        <v>79227</v>
      </c>
      <c r="F666" s="7" t="str">
        <f>"070260102"</f>
        <v>070260102</v>
      </c>
      <c r="H666" s="7">
        <v>583</v>
      </c>
      <c r="I666" s="11">
        <v>0.21</v>
      </c>
    </row>
    <row r="667" spans="1:9">
      <c r="A667" s="7" t="s">
        <v>829</v>
      </c>
      <c r="B667" s="7">
        <v>4248</v>
      </c>
      <c r="C667" s="7" t="str">
        <f t="shared" si="29"/>
        <v>070260000</v>
      </c>
      <c r="D667" s="7" t="s">
        <v>834</v>
      </c>
      <c r="E667" s="7">
        <v>88422</v>
      </c>
      <c r="F667" s="7" t="str">
        <f>"070260106"</f>
        <v>070260106</v>
      </c>
      <c r="H667" s="7">
        <v>689</v>
      </c>
      <c r="I667" s="11">
        <v>0.16</v>
      </c>
    </row>
    <row r="668" spans="1:9" ht="28.5">
      <c r="A668" s="7" t="s">
        <v>829</v>
      </c>
      <c r="B668" s="7">
        <v>4248</v>
      </c>
      <c r="C668" s="7" t="str">
        <f t="shared" si="29"/>
        <v>070260000</v>
      </c>
      <c r="D668" s="7" t="s">
        <v>835</v>
      </c>
      <c r="E668" s="7">
        <v>92252</v>
      </c>
      <c r="F668" s="7" t="str">
        <f>"070260121"</f>
        <v>070260121</v>
      </c>
      <c r="H668" s="7">
        <v>340</v>
      </c>
      <c r="I668" s="11">
        <v>0.14000000000000001</v>
      </c>
    </row>
    <row r="669" spans="1:9">
      <c r="A669" s="7" t="s">
        <v>829</v>
      </c>
      <c r="B669" s="7">
        <v>4248</v>
      </c>
      <c r="C669" s="7" t="str">
        <f t="shared" si="29"/>
        <v>070260000</v>
      </c>
      <c r="D669" s="7" t="s">
        <v>836</v>
      </c>
      <c r="E669" s="7">
        <v>87487</v>
      </c>
      <c r="F669" s="7" t="str">
        <f>"070260105"</f>
        <v>070260105</v>
      </c>
      <c r="H669" s="7">
        <v>754</v>
      </c>
      <c r="I669" s="11">
        <v>0.47</v>
      </c>
    </row>
    <row r="670" spans="1:9">
      <c r="A670" s="7" t="s">
        <v>829</v>
      </c>
      <c r="B670" s="7">
        <v>4248</v>
      </c>
      <c r="C670" s="7" t="str">
        <f t="shared" si="29"/>
        <v>070260000</v>
      </c>
      <c r="D670" s="7" t="s">
        <v>837</v>
      </c>
      <c r="E670" s="7">
        <v>79374</v>
      </c>
      <c r="F670" s="7" t="str">
        <f>"070260201"</f>
        <v>070260201</v>
      </c>
      <c r="H670" s="7">
        <v>2241</v>
      </c>
      <c r="I670" s="11">
        <v>0.17</v>
      </c>
    </row>
    <row r="671" spans="1:9">
      <c r="A671" s="7" t="s">
        <v>829</v>
      </c>
      <c r="B671" s="7">
        <v>4248</v>
      </c>
      <c r="C671" s="7" t="str">
        <f t="shared" si="29"/>
        <v>070260000</v>
      </c>
      <c r="D671" s="7" t="s">
        <v>838</v>
      </c>
      <c r="E671" s="7">
        <v>5168</v>
      </c>
      <c r="F671" s="7" t="str">
        <f>"070260101"</f>
        <v>070260101</v>
      </c>
      <c r="H671" s="7">
        <v>743</v>
      </c>
      <c r="I671" s="11">
        <v>0.26</v>
      </c>
    </row>
    <row r="672" spans="1:9">
      <c r="A672" s="7" t="s">
        <v>829</v>
      </c>
      <c r="B672" s="7">
        <v>4248</v>
      </c>
      <c r="C672" s="7" t="str">
        <f t="shared" si="29"/>
        <v>070260000</v>
      </c>
      <c r="D672" s="7" t="s">
        <v>839</v>
      </c>
      <c r="E672" s="7">
        <v>80316</v>
      </c>
      <c r="F672" s="7" t="str">
        <f>"070260104"</f>
        <v>070260104</v>
      </c>
      <c r="H672" s="7">
        <v>596</v>
      </c>
      <c r="I672" s="11">
        <v>0.3</v>
      </c>
    </row>
    <row r="673" spans="1:9">
      <c r="A673" s="7" t="s">
        <v>829</v>
      </c>
      <c r="B673" s="7">
        <v>4248</v>
      </c>
      <c r="C673" s="7" t="str">
        <f t="shared" si="29"/>
        <v>070260000</v>
      </c>
      <c r="D673" s="7" t="s">
        <v>840</v>
      </c>
      <c r="E673" s="7">
        <v>79375</v>
      </c>
      <c r="F673" s="7" t="str">
        <f>"070260103"</f>
        <v>070260103</v>
      </c>
      <c r="H673" s="7">
        <v>891</v>
      </c>
      <c r="I673" s="11">
        <v>0.16</v>
      </c>
    </row>
    <row r="674" spans="1:9">
      <c r="A674" s="7" t="s">
        <v>829</v>
      </c>
      <c r="B674" s="7">
        <v>4248</v>
      </c>
      <c r="C674" s="7" t="str">
        <f t="shared" si="29"/>
        <v>070260000</v>
      </c>
      <c r="D674" s="7" t="s">
        <v>841</v>
      </c>
      <c r="E674" s="7">
        <v>92260</v>
      </c>
      <c r="F674" s="7" t="str">
        <f>"070260151"</f>
        <v>070260151</v>
      </c>
      <c r="H674" s="7">
        <v>1032</v>
      </c>
      <c r="I674" s="11">
        <v>0.19</v>
      </c>
    </row>
    <row r="675" spans="1:9" ht="28.5">
      <c r="A675" s="7" t="s">
        <v>829</v>
      </c>
      <c r="B675" s="7">
        <v>4248</v>
      </c>
      <c r="C675" s="7" t="str">
        <f t="shared" si="29"/>
        <v>070260000</v>
      </c>
      <c r="D675" s="7" t="s">
        <v>842</v>
      </c>
      <c r="E675" s="7">
        <v>92264</v>
      </c>
      <c r="F675" s="7" t="str">
        <f>"070260122"</f>
        <v>070260122</v>
      </c>
      <c r="H675" s="7">
        <v>377</v>
      </c>
      <c r="I675" s="11">
        <v>0.11</v>
      </c>
    </row>
    <row r="676" spans="1:9">
      <c r="A676" s="7" t="s">
        <v>829</v>
      </c>
      <c r="B676" s="7">
        <v>4248</v>
      </c>
      <c r="C676" s="7" t="str">
        <f t="shared" si="29"/>
        <v>070260000</v>
      </c>
      <c r="D676" s="7" t="s">
        <v>843</v>
      </c>
      <c r="E676" s="7">
        <v>89581</v>
      </c>
      <c r="F676" s="7" t="str">
        <f>"070260202"</f>
        <v>070260202</v>
      </c>
      <c r="H676" s="7">
        <v>2225</v>
      </c>
      <c r="I676" s="11">
        <v>0.25</v>
      </c>
    </row>
    <row r="677" spans="1:9" ht="28.5">
      <c r="A677" s="7" t="s">
        <v>844</v>
      </c>
      <c r="B677" s="7">
        <v>91275</v>
      </c>
      <c r="C677" s="7" t="str">
        <f>"078204000"</f>
        <v>078204000</v>
      </c>
      <c r="D677" s="7" t="s">
        <v>844</v>
      </c>
      <c r="E677" s="7">
        <v>92223</v>
      </c>
      <c r="F677" s="7" t="str">
        <f>"078204001"</f>
        <v>078204001</v>
      </c>
      <c r="G677" s="7" t="s">
        <v>26</v>
      </c>
      <c r="H677" s="7">
        <v>187</v>
      </c>
      <c r="I677" s="11">
        <v>0.89</v>
      </c>
    </row>
    <row r="678" spans="1:9" ht="28.5">
      <c r="A678" s="7" t="s">
        <v>845</v>
      </c>
      <c r="B678" s="7">
        <v>4389</v>
      </c>
      <c r="C678" s="7" t="str">
        <f t="shared" ref="C678:C683" si="30">"090203000"</f>
        <v>090203000</v>
      </c>
      <c r="D678" s="7" t="s">
        <v>846</v>
      </c>
      <c r="E678" s="7">
        <v>5610</v>
      </c>
      <c r="F678" s="7" t="str">
        <f>"090203207"</f>
        <v>090203207</v>
      </c>
      <c r="G678" s="7" t="s">
        <v>16</v>
      </c>
      <c r="H678" s="7">
        <v>672</v>
      </c>
      <c r="I678" s="11">
        <v>0.84</v>
      </c>
    </row>
    <row r="679" spans="1:9" ht="28.5">
      <c r="A679" s="7" t="s">
        <v>845</v>
      </c>
      <c r="B679" s="7">
        <v>4389</v>
      </c>
      <c r="C679" s="7" t="str">
        <f t="shared" si="30"/>
        <v>090203000</v>
      </c>
      <c r="D679" s="7" t="s">
        <v>847</v>
      </c>
      <c r="E679" s="7">
        <v>5609</v>
      </c>
      <c r="F679" s="7" t="str">
        <f>"090203106"</f>
        <v>090203106</v>
      </c>
      <c r="G679" s="7" t="s">
        <v>16</v>
      </c>
      <c r="H679" s="7">
        <v>316</v>
      </c>
      <c r="I679" s="11">
        <v>0.95</v>
      </c>
    </row>
    <row r="680" spans="1:9" ht="28.5">
      <c r="A680" s="7" t="s">
        <v>845</v>
      </c>
      <c r="B680" s="7">
        <v>4389</v>
      </c>
      <c r="C680" s="7" t="str">
        <f t="shared" si="30"/>
        <v>090203000</v>
      </c>
      <c r="D680" s="7" t="s">
        <v>848</v>
      </c>
      <c r="E680" s="7">
        <v>5607</v>
      </c>
      <c r="F680" s="7" t="str">
        <f>"090203102"</f>
        <v>090203102</v>
      </c>
      <c r="G680" s="7" t="s">
        <v>16</v>
      </c>
      <c r="H680" s="7">
        <v>360</v>
      </c>
      <c r="I680" s="11">
        <v>0.73</v>
      </c>
    </row>
    <row r="681" spans="1:9" ht="28.5">
      <c r="A681" s="7" t="s">
        <v>845</v>
      </c>
      <c r="B681" s="7">
        <v>4389</v>
      </c>
      <c r="C681" s="7" t="str">
        <f t="shared" si="30"/>
        <v>090203000</v>
      </c>
      <c r="D681" s="7" t="s">
        <v>849</v>
      </c>
      <c r="E681" s="7">
        <v>79377</v>
      </c>
      <c r="F681" s="7" t="str">
        <f>"090203104"</f>
        <v>090203104</v>
      </c>
      <c r="G681" s="7" t="s">
        <v>16</v>
      </c>
      <c r="H681" s="7">
        <v>344</v>
      </c>
      <c r="I681" s="11" t="s">
        <v>17</v>
      </c>
    </row>
    <row r="682" spans="1:9" ht="28.5">
      <c r="A682" s="7" t="s">
        <v>845</v>
      </c>
      <c r="B682" s="7">
        <v>4389</v>
      </c>
      <c r="C682" s="7" t="str">
        <f t="shared" si="30"/>
        <v>090203000</v>
      </c>
      <c r="D682" s="7" t="s">
        <v>850</v>
      </c>
      <c r="E682" s="7">
        <v>7654</v>
      </c>
      <c r="F682" s="7" t="str">
        <f>"090199001"</f>
        <v>090199001</v>
      </c>
      <c r="G682" s="7" t="s">
        <v>16</v>
      </c>
      <c r="H682" s="7">
        <v>18</v>
      </c>
      <c r="I682" s="11">
        <v>0.96</v>
      </c>
    </row>
    <row r="683" spans="1:9" ht="28.5">
      <c r="A683" s="7" t="s">
        <v>845</v>
      </c>
      <c r="B683" s="7">
        <v>4389</v>
      </c>
      <c r="C683" s="7" t="str">
        <f t="shared" si="30"/>
        <v>090203000</v>
      </c>
      <c r="D683" s="7" t="s">
        <v>851</v>
      </c>
      <c r="E683" s="7">
        <v>5608</v>
      </c>
      <c r="F683" s="7" t="str">
        <f>"090203103"</f>
        <v>090203103</v>
      </c>
      <c r="G683" s="7" t="s">
        <v>16</v>
      </c>
      <c r="H683" s="7">
        <v>160</v>
      </c>
      <c r="I683" s="11">
        <v>0.86</v>
      </c>
    </row>
    <row r="684" spans="1:9" ht="28.5">
      <c r="A684" s="7" t="s">
        <v>852</v>
      </c>
      <c r="B684" s="7">
        <v>88447</v>
      </c>
      <c r="C684" s="7" t="str">
        <f>"099101000"</f>
        <v>099101000</v>
      </c>
      <c r="D684" s="7" t="s">
        <v>852</v>
      </c>
      <c r="E684" s="7">
        <v>80287</v>
      </c>
      <c r="F684" s="7" t="str">
        <f>"093906005"</f>
        <v>093906005</v>
      </c>
      <c r="G684" s="7" t="s">
        <v>16</v>
      </c>
      <c r="H684" s="7">
        <v>96</v>
      </c>
      <c r="I684" s="11" t="s">
        <v>17</v>
      </c>
    </row>
    <row r="685" spans="1:9" ht="28.5">
      <c r="A685" s="7" t="s">
        <v>853</v>
      </c>
      <c r="B685" s="7">
        <v>88449</v>
      </c>
      <c r="C685" s="7" t="str">
        <f>"099103000"</f>
        <v>099103000</v>
      </c>
      <c r="D685" s="7" t="s">
        <v>854</v>
      </c>
      <c r="E685" s="7">
        <v>87950</v>
      </c>
      <c r="F685" s="7" t="str">
        <f>"093906002"</f>
        <v>093906002</v>
      </c>
      <c r="G685" s="7" t="s">
        <v>16</v>
      </c>
      <c r="H685" s="7">
        <v>446</v>
      </c>
      <c r="I685" s="11">
        <v>0.9</v>
      </c>
    </row>
    <row r="686" spans="1:9">
      <c r="A686" s="7" t="s">
        <v>855</v>
      </c>
      <c r="B686" s="7">
        <v>4469</v>
      </c>
      <c r="C686" s="7" t="str">
        <f t="shared" ref="C686:C694" si="31">"130222000"</f>
        <v>130222000</v>
      </c>
      <c r="D686" s="7" t="s">
        <v>856</v>
      </c>
      <c r="E686" s="7">
        <v>6097</v>
      </c>
      <c r="F686" s="7" t="str">
        <f>"130222230"</f>
        <v>130222230</v>
      </c>
      <c r="H686" s="7">
        <v>1665</v>
      </c>
      <c r="I686" s="11">
        <v>0.54</v>
      </c>
    </row>
    <row r="687" spans="1:9">
      <c r="A687" s="7" t="s">
        <v>855</v>
      </c>
      <c r="B687" s="7">
        <v>4469</v>
      </c>
      <c r="C687" s="7" t="str">
        <f t="shared" si="31"/>
        <v>130222000</v>
      </c>
      <c r="D687" s="7" t="s">
        <v>857</v>
      </c>
      <c r="E687" s="7">
        <v>6091</v>
      </c>
      <c r="F687" s="7" t="str">
        <f>"130222120"</f>
        <v>130222120</v>
      </c>
      <c r="H687" s="7">
        <v>282</v>
      </c>
      <c r="I687" s="11">
        <v>0.57999999999999996</v>
      </c>
    </row>
    <row r="688" spans="1:9">
      <c r="A688" s="7" t="s">
        <v>855</v>
      </c>
      <c r="B688" s="7">
        <v>4469</v>
      </c>
      <c r="C688" s="7" t="str">
        <f t="shared" si="31"/>
        <v>130222000</v>
      </c>
      <c r="D688" s="7" t="s">
        <v>858</v>
      </c>
      <c r="E688" s="7">
        <v>6095</v>
      </c>
      <c r="F688" s="7" t="str">
        <f>"130222133"</f>
        <v>130222133</v>
      </c>
      <c r="H688" s="7">
        <v>546</v>
      </c>
      <c r="I688" s="11">
        <v>0.56999999999999995</v>
      </c>
    </row>
    <row r="689" spans="1:9">
      <c r="A689" s="7" t="s">
        <v>855</v>
      </c>
      <c r="B689" s="7">
        <v>4469</v>
      </c>
      <c r="C689" s="7" t="str">
        <f t="shared" si="31"/>
        <v>130222000</v>
      </c>
      <c r="D689" s="7" t="s">
        <v>859</v>
      </c>
      <c r="E689" s="7">
        <v>6092</v>
      </c>
      <c r="F689" s="7" t="str">
        <f>"130222125"</f>
        <v>130222125</v>
      </c>
      <c r="H689" s="7">
        <v>349</v>
      </c>
      <c r="I689" s="11">
        <v>0.64</v>
      </c>
    </row>
    <row r="690" spans="1:9">
      <c r="A690" s="7" t="s">
        <v>855</v>
      </c>
      <c r="B690" s="7">
        <v>4469</v>
      </c>
      <c r="C690" s="7" t="str">
        <f t="shared" si="31"/>
        <v>130222000</v>
      </c>
      <c r="D690" s="7" t="s">
        <v>860</v>
      </c>
      <c r="E690" s="7">
        <v>87535</v>
      </c>
      <c r="F690" s="7" t="str">
        <f>"130222135"</f>
        <v>130222135</v>
      </c>
      <c r="H690" s="7">
        <v>516</v>
      </c>
      <c r="I690" s="11">
        <v>0.51</v>
      </c>
    </row>
    <row r="691" spans="1:9">
      <c r="A691" s="7" t="s">
        <v>855</v>
      </c>
      <c r="B691" s="7">
        <v>4469</v>
      </c>
      <c r="C691" s="7" t="str">
        <f t="shared" si="31"/>
        <v>130222000</v>
      </c>
      <c r="D691" s="7" t="s">
        <v>861</v>
      </c>
      <c r="E691" s="7">
        <v>6093</v>
      </c>
      <c r="F691" s="7" t="str">
        <f>"130222131"</f>
        <v>130222131</v>
      </c>
      <c r="H691" s="7">
        <v>357</v>
      </c>
      <c r="I691" s="11">
        <v>0.64</v>
      </c>
    </row>
    <row r="692" spans="1:9">
      <c r="A692" s="7" t="s">
        <v>855</v>
      </c>
      <c r="B692" s="7">
        <v>4469</v>
      </c>
      <c r="C692" s="7" t="str">
        <f t="shared" si="31"/>
        <v>130222000</v>
      </c>
      <c r="D692" s="7" t="s">
        <v>862</v>
      </c>
      <c r="E692" s="7">
        <v>6090</v>
      </c>
      <c r="F692" s="7" t="str">
        <f>"130222110"</f>
        <v>130222110</v>
      </c>
      <c r="H692" s="7">
        <v>415</v>
      </c>
      <c r="I692" s="11">
        <v>0.76</v>
      </c>
    </row>
    <row r="693" spans="1:9">
      <c r="A693" s="7" t="s">
        <v>855</v>
      </c>
      <c r="B693" s="7">
        <v>4469</v>
      </c>
      <c r="C693" s="7" t="str">
        <f t="shared" si="31"/>
        <v>130222000</v>
      </c>
      <c r="D693" s="7" t="s">
        <v>863</v>
      </c>
      <c r="E693" s="7">
        <v>6096</v>
      </c>
      <c r="F693" s="7" t="str">
        <f>"130222134"</f>
        <v>130222134</v>
      </c>
      <c r="H693" s="7">
        <v>812</v>
      </c>
      <c r="I693" s="11">
        <v>0.46</v>
      </c>
    </row>
    <row r="694" spans="1:9">
      <c r="A694" s="7" t="s">
        <v>855</v>
      </c>
      <c r="B694" s="7">
        <v>4469</v>
      </c>
      <c r="C694" s="7" t="str">
        <f t="shared" si="31"/>
        <v>130222000</v>
      </c>
      <c r="D694" s="7" t="s">
        <v>864</v>
      </c>
      <c r="E694" s="7">
        <v>6094</v>
      </c>
      <c r="F694" s="7" t="str">
        <f>"130222132"</f>
        <v>130222132</v>
      </c>
      <c r="H694" s="7">
        <v>366</v>
      </c>
      <c r="I694" s="11">
        <v>0.82</v>
      </c>
    </row>
    <row r="695" spans="1:9" ht="28.5">
      <c r="A695" s="7" t="s">
        <v>865</v>
      </c>
      <c r="B695" s="7">
        <v>80370</v>
      </c>
      <c r="C695" s="7" t="str">
        <f>"014006000"</f>
        <v>014006000</v>
      </c>
      <c r="D695" s="7" t="s">
        <v>865</v>
      </c>
      <c r="E695" s="7">
        <v>80444</v>
      </c>
      <c r="F695" s="7" t="str">
        <f>"014012002"</f>
        <v>014012002</v>
      </c>
      <c r="G695" s="7" t="s">
        <v>16</v>
      </c>
      <c r="H695" s="7">
        <v>75</v>
      </c>
      <c r="I695" s="11">
        <v>0.91</v>
      </c>
    </row>
    <row r="696" spans="1:9" ht="28.5">
      <c r="A696" s="7" t="s">
        <v>866</v>
      </c>
      <c r="B696" s="7">
        <v>4502</v>
      </c>
      <c r="C696" s="7" t="str">
        <f>"140416000"</f>
        <v>140416000</v>
      </c>
      <c r="D696" s="7" t="s">
        <v>867</v>
      </c>
      <c r="E696" s="7">
        <v>6180</v>
      </c>
      <c r="F696" s="7" t="str">
        <f>"140416101"</f>
        <v>140416101</v>
      </c>
      <c r="G696" s="7" t="s">
        <v>16</v>
      </c>
      <c r="H696" s="7">
        <v>103</v>
      </c>
      <c r="I696" s="11">
        <v>0.72</v>
      </c>
    </row>
    <row r="697" spans="1:9" ht="28.5">
      <c r="A697" s="7" t="s">
        <v>868</v>
      </c>
      <c r="B697" s="7">
        <v>89784</v>
      </c>
      <c r="C697" s="7" t="str">
        <f>"078535000"</f>
        <v>078535000</v>
      </c>
      <c r="D697" s="7" t="s">
        <v>869</v>
      </c>
      <c r="E697" s="7">
        <v>89785</v>
      </c>
      <c r="F697" s="7" t="str">
        <f>"078535101"</f>
        <v>078535101</v>
      </c>
      <c r="G697" s="7" t="s">
        <v>16</v>
      </c>
      <c r="H697" s="7">
        <v>460</v>
      </c>
      <c r="I697" s="12">
        <v>0.64</v>
      </c>
    </row>
    <row r="698" spans="1:9">
      <c r="A698" s="7" t="s">
        <v>870</v>
      </c>
      <c r="B698" s="7">
        <v>90162</v>
      </c>
      <c r="C698" s="7" t="str">
        <f>"078553000"</f>
        <v>078553000</v>
      </c>
      <c r="D698" s="7" t="s">
        <v>871</v>
      </c>
      <c r="E698" s="7">
        <v>90163</v>
      </c>
      <c r="F698" s="7" t="str">
        <f>"078553001"</f>
        <v>078553001</v>
      </c>
      <c r="H698" s="7">
        <v>193</v>
      </c>
      <c r="I698" s="11">
        <v>0.72</v>
      </c>
    </row>
    <row r="699" spans="1:9" ht="28.5">
      <c r="A699" s="7" t="s">
        <v>872</v>
      </c>
      <c r="B699" s="7">
        <v>89561</v>
      </c>
      <c r="C699" s="7" t="str">
        <f>"078531000"</f>
        <v>078531000</v>
      </c>
      <c r="D699" s="7" t="s">
        <v>873</v>
      </c>
      <c r="E699" s="7">
        <v>89562</v>
      </c>
      <c r="F699" s="7" t="str">
        <f>"078531101"</f>
        <v>078531101</v>
      </c>
      <c r="G699" s="7" t="s">
        <v>16</v>
      </c>
      <c r="H699" s="7">
        <v>180</v>
      </c>
      <c r="I699" s="12">
        <v>0.86</v>
      </c>
    </row>
    <row r="700" spans="1:9" ht="28.5">
      <c r="A700" s="7" t="s">
        <v>874</v>
      </c>
      <c r="B700" s="7">
        <v>88365</v>
      </c>
      <c r="C700" s="7" t="str">
        <f>"078519000"</f>
        <v>078519000</v>
      </c>
      <c r="D700" s="7" t="s">
        <v>875</v>
      </c>
      <c r="E700" s="7">
        <v>88366</v>
      </c>
      <c r="F700" s="7" t="str">
        <f>"078519101"</f>
        <v>078519101</v>
      </c>
      <c r="G700" s="7" t="s">
        <v>16</v>
      </c>
      <c r="H700" s="7">
        <v>344</v>
      </c>
      <c r="I700" s="12">
        <v>0.96</v>
      </c>
    </row>
    <row r="701" spans="1:9" ht="28.5">
      <c r="A701" s="7" t="s">
        <v>876</v>
      </c>
      <c r="B701" s="7">
        <v>88367</v>
      </c>
      <c r="C701" s="7" t="str">
        <f>"078520000"</f>
        <v>078520000</v>
      </c>
      <c r="D701" s="7" t="s">
        <v>877</v>
      </c>
      <c r="E701" s="7">
        <v>88368</v>
      </c>
      <c r="F701" s="7" t="str">
        <f>"078520101"</f>
        <v>078520101</v>
      </c>
      <c r="G701" s="7" t="s">
        <v>16</v>
      </c>
      <c r="H701" s="7">
        <v>716</v>
      </c>
      <c r="I701" s="12">
        <v>0.78</v>
      </c>
    </row>
    <row r="702" spans="1:9" ht="28.5">
      <c r="A702" s="7" t="s">
        <v>878</v>
      </c>
      <c r="B702" s="7">
        <v>89786</v>
      </c>
      <c r="C702" s="7" t="str">
        <f>"078536000"</f>
        <v>078536000</v>
      </c>
      <c r="D702" s="7" t="s">
        <v>879</v>
      </c>
      <c r="E702" s="7">
        <v>89787</v>
      </c>
      <c r="F702" s="7" t="str">
        <f>"078536101"</f>
        <v>078536101</v>
      </c>
      <c r="G702" s="7" t="s">
        <v>16</v>
      </c>
      <c r="H702" s="7">
        <v>701</v>
      </c>
      <c r="I702" s="12">
        <v>0.75</v>
      </c>
    </row>
    <row r="703" spans="1:9" ht="28.5">
      <c r="A703" s="7" t="s">
        <v>880</v>
      </c>
      <c r="B703" s="7">
        <v>89563</v>
      </c>
      <c r="C703" s="7" t="str">
        <f>"078532000"</f>
        <v>078532000</v>
      </c>
      <c r="D703" s="7" t="s">
        <v>881</v>
      </c>
      <c r="E703" s="7">
        <v>89564</v>
      </c>
      <c r="F703" s="7" t="str">
        <f>"078532101"</f>
        <v>078532101</v>
      </c>
      <c r="G703" s="7" t="s">
        <v>16</v>
      </c>
      <c r="H703" s="7">
        <v>434</v>
      </c>
      <c r="I703" s="12">
        <v>0.69</v>
      </c>
    </row>
    <row r="704" spans="1:9">
      <c r="A704" s="7" t="s">
        <v>882</v>
      </c>
      <c r="B704" s="7">
        <v>88369</v>
      </c>
      <c r="C704" s="7" t="str">
        <f>"078521000"</f>
        <v>078521000</v>
      </c>
      <c r="D704" s="7" t="s">
        <v>883</v>
      </c>
      <c r="E704" s="7">
        <v>88370</v>
      </c>
      <c r="F704" s="7" t="str">
        <f>"078521001"</f>
        <v>078521001</v>
      </c>
      <c r="H704" s="7">
        <v>141</v>
      </c>
      <c r="I704" s="11">
        <v>0.71</v>
      </c>
    </row>
    <row r="705" spans="1:9">
      <c r="A705" s="7" t="s">
        <v>884</v>
      </c>
      <c r="B705" s="7">
        <v>88372</v>
      </c>
      <c r="C705" s="7" t="str">
        <f>"078522000"</f>
        <v>078522000</v>
      </c>
      <c r="D705" s="7" t="s">
        <v>885</v>
      </c>
      <c r="E705" s="7">
        <v>88373</v>
      </c>
      <c r="F705" s="7" t="str">
        <f>"078522101"</f>
        <v>078522101</v>
      </c>
      <c r="H705" s="7">
        <v>272</v>
      </c>
      <c r="I705" s="11">
        <v>0.49</v>
      </c>
    </row>
    <row r="706" spans="1:9" ht="28.5">
      <c r="A706" s="7" t="s">
        <v>886</v>
      </c>
      <c r="B706" s="7">
        <v>90034</v>
      </c>
      <c r="C706" s="7" t="str">
        <f>"078547000"</f>
        <v>078547000</v>
      </c>
      <c r="D706" s="7" t="s">
        <v>887</v>
      </c>
      <c r="E706" s="7">
        <v>90035</v>
      </c>
      <c r="F706" s="7" t="str">
        <f>"078547101"</f>
        <v>078547101</v>
      </c>
      <c r="G706" s="7" t="s">
        <v>16</v>
      </c>
      <c r="H706" s="7">
        <v>438</v>
      </c>
      <c r="I706" s="12">
        <v>0.69</v>
      </c>
    </row>
    <row r="707" spans="1:9">
      <c r="A707" s="7" t="s">
        <v>888</v>
      </c>
      <c r="B707" s="7">
        <v>89788</v>
      </c>
      <c r="C707" s="7" t="str">
        <f>"078537000"</f>
        <v>078537000</v>
      </c>
      <c r="D707" s="7" t="s">
        <v>889</v>
      </c>
      <c r="E707" s="7">
        <v>89789</v>
      </c>
      <c r="F707" s="7" t="str">
        <f>"078537101"</f>
        <v>078537101</v>
      </c>
      <c r="H707" s="7">
        <v>290</v>
      </c>
      <c r="I707" s="11">
        <v>0.56999999999999995</v>
      </c>
    </row>
    <row r="708" spans="1:9">
      <c r="A708" s="7" t="s">
        <v>890</v>
      </c>
      <c r="B708" s="7">
        <v>89790</v>
      </c>
      <c r="C708" s="7" t="str">
        <f>"078538000"</f>
        <v>078538000</v>
      </c>
      <c r="D708" s="7" t="s">
        <v>891</v>
      </c>
      <c r="E708" s="7">
        <v>89791</v>
      </c>
      <c r="F708" s="7" t="str">
        <f>"078538101"</f>
        <v>078538101</v>
      </c>
      <c r="H708" s="7">
        <v>276</v>
      </c>
      <c r="I708" s="11">
        <v>0.47</v>
      </c>
    </row>
    <row r="709" spans="1:9">
      <c r="A709" s="7" t="s">
        <v>892</v>
      </c>
      <c r="B709" s="7">
        <v>90160</v>
      </c>
      <c r="C709" s="7" t="str">
        <f>"078552000"</f>
        <v>078552000</v>
      </c>
      <c r="D709" s="7" t="s">
        <v>893</v>
      </c>
      <c r="E709" s="7">
        <v>90161</v>
      </c>
      <c r="F709" s="7" t="str">
        <f>"078552001"</f>
        <v>078552001</v>
      </c>
      <c r="H709" s="7">
        <v>157</v>
      </c>
      <c r="I709" s="11">
        <v>0.71</v>
      </c>
    </row>
    <row r="710" spans="1:9">
      <c r="A710" s="7" t="s">
        <v>894</v>
      </c>
      <c r="B710" s="7">
        <v>80085</v>
      </c>
      <c r="C710" s="7" t="str">
        <f>"142002000"</f>
        <v>142002000</v>
      </c>
      <c r="D710" s="7" t="s">
        <v>894</v>
      </c>
      <c r="E710" s="7">
        <v>80086</v>
      </c>
      <c r="F710" s="7" t="str">
        <f>"142002001"</f>
        <v>142002001</v>
      </c>
      <c r="H710" s="7">
        <v>244</v>
      </c>
      <c r="I710" s="11">
        <v>0.63</v>
      </c>
    </row>
    <row r="711" spans="1:9">
      <c r="A711" s="7" t="s">
        <v>895</v>
      </c>
      <c r="B711" s="7">
        <v>91326</v>
      </c>
      <c r="C711" s="7" t="str">
        <f>"078210000"</f>
        <v>078210000</v>
      </c>
      <c r="D711" s="7" t="s">
        <v>895</v>
      </c>
      <c r="E711" s="7">
        <v>92230</v>
      </c>
      <c r="F711" s="7" t="str">
        <f>"078210001"</f>
        <v>078210001</v>
      </c>
      <c r="H711" s="7">
        <v>189</v>
      </c>
      <c r="I711" s="11">
        <v>0.57999999999999996</v>
      </c>
    </row>
    <row r="712" spans="1:9">
      <c r="A712" s="7" t="s">
        <v>896</v>
      </c>
      <c r="B712" s="7">
        <v>91899</v>
      </c>
      <c r="C712" s="7" t="str">
        <f>"102142000"</f>
        <v>102142000</v>
      </c>
      <c r="D712" s="7" t="s">
        <v>897</v>
      </c>
      <c r="E712" s="7">
        <v>91900</v>
      </c>
      <c r="F712" s="7" t="str">
        <f>"102142001"</f>
        <v>102142001</v>
      </c>
      <c r="H712" s="7">
        <v>100</v>
      </c>
      <c r="I712" s="11">
        <v>0.42</v>
      </c>
    </row>
    <row r="713" spans="1:9" ht="28.5">
      <c r="A713" s="7" t="s">
        <v>898</v>
      </c>
      <c r="B713" s="7">
        <v>4259</v>
      </c>
      <c r="C713" s="7" t="str">
        <f t="shared" ref="C713:C721" si="32">"070405000"</f>
        <v>070405000</v>
      </c>
      <c r="D713" s="7" t="s">
        <v>899</v>
      </c>
      <c r="E713" s="7">
        <v>5236</v>
      </c>
      <c r="F713" s="7" t="str">
        <f>"070405103"</f>
        <v>070405103</v>
      </c>
      <c r="G713" s="7" t="s">
        <v>16</v>
      </c>
      <c r="H713" s="7">
        <v>528</v>
      </c>
      <c r="I713" s="11" t="s">
        <v>17</v>
      </c>
    </row>
    <row r="714" spans="1:9" ht="28.5">
      <c r="A714" s="7" t="s">
        <v>898</v>
      </c>
      <c r="B714" s="7">
        <v>4259</v>
      </c>
      <c r="C714" s="7" t="str">
        <f t="shared" si="32"/>
        <v>070405000</v>
      </c>
      <c r="D714" s="7" t="s">
        <v>900</v>
      </c>
      <c r="E714" s="7">
        <v>5234</v>
      </c>
      <c r="F714" s="7" t="str">
        <f>"070405101"</f>
        <v>070405101</v>
      </c>
      <c r="G714" s="7" t="s">
        <v>16</v>
      </c>
      <c r="H714" s="7">
        <v>496</v>
      </c>
      <c r="I714" s="11">
        <v>0.91</v>
      </c>
    </row>
    <row r="715" spans="1:9" ht="28.5">
      <c r="A715" s="7" t="s">
        <v>898</v>
      </c>
      <c r="B715" s="7">
        <v>4259</v>
      </c>
      <c r="C715" s="7" t="str">
        <f t="shared" si="32"/>
        <v>070405000</v>
      </c>
      <c r="D715" s="7" t="s">
        <v>901</v>
      </c>
      <c r="E715" s="7">
        <v>5235</v>
      </c>
      <c r="F715" s="7" t="str">
        <f>"070405102"</f>
        <v>070405102</v>
      </c>
      <c r="G715" s="7" t="s">
        <v>16</v>
      </c>
      <c r="H715" s="7">
        <v>542</v>
      </c>
      <c r="I715" s="11" t="s">
        <v>17</v>
      </c>
    </row>
    <row r="716" spans="1:9" ht="28.5">
      <c r="A716" s="7" t="s">
        <v>898</v>
      </c>
      <c r="B716" s="7">
        <v>4259</v>
      </c>
      <c r="C716" s="7" t="str">
        <f t="shared" si="32"/>
        <v>070405000</v>
      </c>
      <c r="D716" s="7" t="s">
        <v>902</v>
      </c>
      <c r="E716" s="7">
        <v>5238</v>
      </c>
      <c r="F716" s="7" t="str">
        <f>"070405105"</f>
        <v>070405105</v>
      </c>
      <c r="G716" s="7" t="s">
        <v>16</v>
      </c>
      <c r="H716" s="7">
        <v>371</v>
      </c>
      <c r="I716" s="11" t="s">
        <v>17</v>
      </c>
    </row>
    <row r="717" spans="1:9" ht="28.5">
      <c r="A717" s="7" t="s">
        <v>898</v>
      </c>
      <c r="B717" s="7">
        <v>4259</v>
      </c>
      <c r="C717" s="7" t="str">
        <f t="shared" si="32"/>
        <v>070405000</v>
      </c>
      <c r="D717" s="7" t="s">
        <v>903</v>
      </c>
      <c r="E717" s="7">
        <v>5239</v>
      </c>
      <c r="F717" s="7" t="str">
        <f>"070405106"</f>
        <v>070405106</v>
      </c>
      <c r="G717" s="7" t="s">
        <v>16</v>
      </c>
      <c r="H717" s="7">
        <v>384</v>
      </c>
      <c r="I717" s="11" t="s">
        <v>17</v>
      </c>
    </row>
    <row r="718" spans="1:9" ht="28.5">
      <c r="A718" s="7" t="s">
        <v>898</v>
      </c>
      <c r="B718" s="7">
        <v>4259</v>
      </c>
      <c r="C718" s="7" t="str">
        <f t="shared" si="32"/>
        <v>070405000</v>
      </c>
      <c r="D718" s="7" t="s">
        <v>904</v>
      </c>
      <c r="E718" s="7">
        <v>78934</v>
      </c>
      <c r="F718" s="7" t="str">
        <f>"070405112"</f>
        <v>070405112</v>
      </c>
      <c r="G718" s="7" t="s">
        <v>16</v>
      </c>
      <c r="H718" s="7">
        <v>562</v>
      </c>
      <c r="I718" s="11">
        <v>0.88</v>
      </c>
    </row>
    <row r="719" spans="1:9" ht="28.5">
      <c r="A719" s="7" t="s">
        <v>898</v>
      </c>
      <c r="B719" s="7">
        <v>4259</v>
      </c>
      <c r="C719" s="7" t="str">
        <f t="shared" si="32"/>
        <v>070405000</v>
      </c>
      <c r="D719" s="7" t="s">
        <v>905</v>
      </c>
      <c r="E719" s="7">
        <v>79821</v>
      </c>
      <c r="F719" s="7" t="str">
        <f>"070405114"</f>
        <v>070405114</v>
      </c>
      <c r="G719" s="7" t="s">
        <v>16</v>
      </c>
      <c r="H719" s="7">
        <v>393</v>
      </c>
      <c r="I719" s="11">
        <v>0.97</v>
      </c>
    </row>
    <row r="720" spans="1:9" ht="28.5">
      <c r="A720" s="7" t="s">
        <v>898</v>
      </c>
      <c r="B720" s="7">
        <v>4259</v>
      </c>
      <c r="C720" s="7" t="str">
        <f t="shared" si="32"/>
        <v>070405000</v>
      </c>
      <c r="D720" s="7" t="s">
        <v>906</v>
      </c>
      <c r="E720" s="7">
        <v>5237</v>
      </c>
      <c r="F720" s="7" t="str">
        <f>"070405104"</f>
        <v>070405104</v>
      </c>
      <c r="G720" s="7" t="s">
        <v>16</v>
      </c>
      <c r="H720" s="7">
        <v>346</v>
      </c>
      <c r="I720" s="11" t="s">
        <v>17</v>
      </c>
    </row>
    <row r="721" spans="1:9" ht="28.5">
      <c r="A721" s="7" t="s">
        <v>898</v>
      </c>
      <c r="B721" s="7">
        <v>4259</v>
      </c>
      <c r="C721" s="7" t="str">
        <f t="shared" si="32"/>
        <v>070405000</v>
      </c>
      <c r="D721" s="7" t="s">
        <v>907</v>
      </c>
      <c r="E721" s="7">
        <v>5243</v>
      </c>
      <c r="F721" s="7" t="str">
        <f>"070405111"</f>
        <v>070405111</v>
      </c>
      <c r="G721" s="7" t="s">
        <v>16</v>
      </c>
      <c r="H721" s="7">
        <v>667</v>
      </c>
      <c r="I721" s="11" t="s">
        <v>17</v>
      </c>
    </row>
    <row r="722" spans="1:9" ht="28.5">
      <c r="A722" s="7" t="s">
        <v>908</v>
      </c>
      <c r="B722" s="7">
        <v>4445</v>
      </c>
      <c r="C722" s="7" t="str">
        <f t="shared" ref="C722:C729" si="33">"110244000"</f>
        <v>110244000</v>
      </c>
      <c r="D722" s="7" t="s">
        <v>909</v>
      </c>
      <c r="E722" s="7">
        <v>1001830</v>
      </c>
      <c r="F722" s="7" t="str">
        <f>"110244202"</f>
        <v>110244202</v>
      </c>
      <c r="H722" s="7">
        <v>67</v>
      </c>
      <c r="I722" s="11">
        <v>0.57999999999999996</v>
      </c>
    </row>
    <row r="723" spans="1:9">
      <c r="A723" s="7" t="s">
        <v>908</v>
      </c>
      <c r="B723" s="7">
        <v>4445</v>
      </c>
      <c r="C723" s="7" t="str">
        <f t="shared" si="33"/>
        <v>110244000</v>
      </c>
      <c r="D723" s="7" t="s">
        <v>910</v>
      </c>
      <c r="E723" s="7">
        <v>89859</v>
      </c>
      <c r="F723" s="7" t="str">
        <f>"110244201"</f>
        <v>110244201</v>
      </c>
      <c r="H723" s="7">
        <v>1278</v>
      </c>
      <c r="I723" s="11">
        <v>0.42</v>
      </c>
    </row>
    <row r="724" spans="1:9">
      <c r="A724" s="7" t="s">
        <v>908</v>
      </c>
      <c r="B724" s="7">
        <v>4445</v>
      </c>
      <c r="C724" s="7" t="str">
        <f t="shared" si="33"/>
        <v>110244000</v>
      </c>
      <c r="D724" s="7" t="s">
        <v>911</v>
      </c>
      <c r="E724" s="7">
        <v>90807</v>
      </c>
      <c r="F724" s="7" t="str">
        <f>"110244101"</f>
        <v>110244101</v>
      </c>
      <c r="H724" s="7">
        <v>213</v>
      </c>
      <c r="I724" s="11">
        <v>0.37</v>
      </c>
    </row>
    <row r="725" spans="1:9">
      <c r="A725" s="7" t="s">
        <v>908</v>
      </c>
      <c r="B725" s="7">
        <v>4445</v>
      </c>
      <c r="C725" s="7" t="str">
        <f t="shared" si="33"/>
        <v>110244000</v>
      </c>
      <c r="D725" s="7" t="s">
        <v>912</v>
      </c>
      <c r="E725" s="7">
        <v>89569</v>
      </c>
      <c r="F725" s="7" t="str">
        <f>"110244105"</f>
        <v>110244105</v>
      </c>
      <c r="H725" s="7">
        <v>599</v>
      </c>
      <c r="I725" s="11">
        <v>0.53</v>
      </c>
    </row>
    <row r="726" spans="1:9">
      <c r="A726" s="7" t="s">
        <v>908</v>
      </c>
      <c r="B726" s="7">
        <v>4445</v>
      </c>
      <c r="C726" s="7" t="str">
        <f t="shared" si="33"/>
        <v>110244000</v>
      </c>
      <c r="D726" s="7" t="s">
        <v>913</v>
      </c>
      <c r="E726" s="7">
        <v>5928</v>
      </c>
      <c r="F726" s="7" t="str">
        <f>"110244103"</f>
        <v>110244103</v>
      </c>
      <c r="H726" s="7">
        <v>617</v>
      </c>
      <c r="I726" s="11">
        <v>0.5</v>
      </c>
    </row>
    <row r="727" spans="1:9">
      <c r="A727" s="7" t="s">
        <v>908</v>
      </c>
      <c r="B727" s="7">
        <v>4445</v>
      </c>
      <c r="C727" s="7" t="str">
        <f t="shared" si="33"/>
        <v>110244000</v>
      </c>
      <c r="D727" s="7" t="s">
        <v>914</v>
      </c>
      <c r="E727" s="7">
        <v>87489</v>
      </c>
      <c r="F727" s="7" t="str">
        <f>"110244104"</f>
        <v>110244104</v>
      </c>
      <c r="H727" s="7">
        <v>389</v>
      </c>
      <c r="I727" s="11">
        <v>0.61</v>
      </c>
    </row>
    <row r="728" spans="1:9">
      <c r="A728" s="7" t="s">
        <v>908</v>
      </c>
      <c r="B728" s="7">
        <v>4445</v>
      </c>
      <c r="C728" s="7" t="str">
        <f t="shared" si="33"/>
        <v>110244000</v>
      </c>
      <c r="D728" s="7" t="s">
        <v>915</v>
      </c>
      <c r="E728" s="7">
        <v>79831</v>
      </c>
      <c r="F728" s="7" t="str">
        <f>"110244102"</f>
        <v>110244102</v>
      </c>
      <c r="H728" s="7">
        <v>408</v>
      </c>
      <c r="I728" s="11">
        <v>0.56999999999999995</v>
      </c>
    </row>
    <row r="729" spans="1:9">
      <c r="A729" s="7" t="s">
        <v>908</v>
      </c>
      <c r="B729" s="7">
        <v>4445</v>
      </c>
      <c r="C729" s="7" t="str">
        <f t="shared" si="33"/>
        <v>110244000</v>
      </c>
      <c r="D729" s="7" t="s">
        <v>916</v>
      </c>
      <c r="E729" s="7">
        <v>89860</v>
      </c>
      <c r="F729" s="7" t="str">
        <f>"110244106"</f>
        <v>110244106</v>
      </c>
      <c r="H729" s="7">
        <v>541</v>
      </c>
      <c r="I729" s="11">
        <v>0.43</v>
      </c>
    </row>
    <row r="730" spans="1:9" ht="28.5">
      <c r="A730" s="7" t="s">
        <v>917</v>
      </c>
      <c r="B730" s="7">
        <v>91248</v>
      </c>
      <c r="C730" s="7" t="str">
        <f>"094014000"</f>
        <v>094014000</v>
      </c>
      <c r="D730" s="7" t="s">
        <v>917</v>
      </c>
      <c r="E730" s="7">
        <v>91249</v>
      </c>
      <c r="F730" s="7" t="str">
        <f>"094014001"</f>
        <v>094014001</v>
      </c>
      <c r="G730" s="7" t="s">
        <v>16</v>
      </c>
      <c r="H730" s="7">
        <v>75</v>
      </c>
      <c r="I730" s="11" t="s">
        <v>17</v>
      </c>
    </row>
    <row r="731" spans="1:9" ht="28.5">
      <c r="A731" s="7" t="s">
        <v>918</v>
      </c>
      <c r="B731" s="7">
        <v>80089</v>
      </c>
      <c r="C731" s="7" t="str">
        <f>"044015000"</f>
        <v>044015000</v>
      </c>
      <c r="D731" s="7" t="s">
        <v>918</v>
      </c>
      <c r="E731" s="7">
        <v>80090</v>
      </c>
      <c r="F731" s="7" t="str">
        <f>"104001007"</f>
        <v>104001007</v>
      </c>
      <c r="G731" s="7" t="s">
        <v>16</v>
      </c>
      <c r="H731" s="7">
        <v>215</v>
      </c>
      <c r="I731" s="11">
        <v>0.94</v>
      </c>
    </row>
    <row r="732" spans="1:9">
      <c r="A732" s="7" t="s">
        <v>919</v>
      </c>
      <c r="B732" s="7">
        <v>4388</v>
      </c>
      <c r="C732" s="7" t="str">
        <f>"090202000"</f>
        <v>090202000</v>
      </c>
      <c r="D732" s="7" t="s">
        <v>920</v>
      </c>
      <c r="E732" s="7">
        <v>5605</v>
      </c>
      <c r="F732" s="7" t="str">
        <f>"090202001"</f>
        <v>090202001</v>
      </c>
      <c r="H732" s="7">
        <v>211</v>
      </c>
      <c r="I732" s="11">
        <v>0.6</v>
      </c>
    </row>
    <row r="733" spans="1:9">
      <c r="A733" s="7" t="s">
        <v>919</v>
      </c>
      <c r="B733" s="7">
        <v>4388</v>
      </c>
      <c r="C733" s="7" t="str">
        <f>"090202000"</f>
        <v>090202000</v>
      </c>
      <c r="D733" s="7" t="s">
        <v>921</v>
      </c>
      <c r="E733" s="7">
        <v>5606</v>
      </c>
      <c r="F733" s="7" t="str">
        <f>"090202002"</f>
        <v>090202002</v>
      </c>
      <c r="H733" s="7">
        <v>240</v>
      </c>
      <c r="I733" s="11">
        <v>0.39</v>
      </c>
    </row>
    <row r="734" spans="1:9" ht="28.5">
      <c r="A734" s="7" t="s">
        <v>922</v>
      </c>
      <c r="B734" s="7">
        <v>80092</v>
      </c>
      <c r="C734" s="7" t="str">
        <f>"034003000"</f>
        <v>034003000</v>
      </c>
      <c r="D734" s="7" t="s">
        <v>922</v>
      </c>
      <c r="E734" s="7">
        <v>80093</v>
      </c>
      <c r="F734" s="7" t="str">
        <f>"033904004"</f>
        <v>033904004</v>
      </c>
      <c r="G734" s="7" t="s">
        <v>16</v>
      </c>
      <c r="H734" s="7">
        <v>182</v>
      </c>
      <c r="I734" s="11" t="s">
        <v>17</v>
      </c>
    </row>
    <row r="735" spans="1:9" ht="28.5">
      <c r="A735" s="7" t="s">
        <v>923</v>
      </c>
      <c r="B735" s="7">
        <v>91329</v>
      </c>
      <c r="C735" s="7" t="str">
        <f>"078240000"</f>
        <v>078240000</v>
      </c>
      <c r="D735" s="7" t="s">
        <v>924</v>
      </c>
      <c r="E735" s="7">
        <v>92225</v>
      </c>
      <c r="F735" s="7" t="str">
        <f>"078240001"</f>
        <v>078240001</v>
      </c>
      <c r="G735" s="7" t="s">
        <v>16</v>
      </c>
      <c r="H735" s="7">
        <v>102</v>
      </c>
      <c r="I735" s="11">
        <v>0.92</v>
      </c>
    </row>
    <row r="736" spans="1:9">
      <c r="A736" s="7" t="s">
        <v>925</v>
      </c>
      <c r="B736" s="7">
        <v>92989</v>
      </c>
      <c r="C736" s="7" t="str">
        <f>"128704000"</f>
        <v>128704000</v>
      </c>
      <c r="D736" s="7" t="s">
        <v>926</v>
      </c>
      <c r="E736" s="7">
        <v>766437</v>
      </c>
      <c r="F736" s="7" t="str">
        <f>"128704001"</f>
        <v>128704001</v>
      </c>
      <c r="H736" s="7">
        <v>262</v>
      </c>
      <c r="I736" s="11">
        <v>0.95</v>
      </c>
    </row>
    <row r="737" spans="1:9" ht="28.5">
      <c r="A737" s="7" t="s">
        <v>927</v>
      </c>
      <c r="B737" s="7">
        <v>91328</v>
      </c>
      <c r="C737" s="7" t="str">
        <f>"078230000"</f>
        <v>078230000</v>
      </c>
      <c r="D737" s="7" t="s">
        <v>928</v>
      </c>
      <c r="E737" s="7">
        <v>92224</v>
      </c>
      <c r="F737" s="7" t="str">
        <f>"078230001"</f>
        <v>078230001</v>
      </c>
      <c r="H737" s="7">
        <v>176</v>
      </c>
      <c r="I737" s="11">
        <v>0.77</v>
      </c>
    </row>
    <row r="738" spans="1:9" ht="28.5">
      <c r="A738" s="7" t="s">
        <v>929</v>
      </c>
      <c r="B738" s="7">
        <v>4342</v>
      </c>
      <c r="C738" s="7" t="str">
        <f>"078718000"</f>
        <v>078718000</v>
      </c>
      <c r="D738" s="7" t="s">
        <v>930</v>
      </c>
      <c r="E738" s="7">
        <v>92246</v>
      </c>
      <c r="F738" s="7" t="str">
        <f>"078718215"</f>
        <v>078718215</v>
      </c>
      <c r="G738" s="7" t="s">
        <v>26</v>
      </c>
      <c r="H738" s="7">
        <v>543</v>
      </c>
      <c r="I738" s="11">
        <v>0.87</v>
      </c>
    </row>
    <row r="739" spans="1:9" ht="28.5">
      <c r="A739" s="7" t="s">
        <v>929</v>
      </c>
      <c r="B739" s="7">
        <v>4342</v>
      </c>
      <c r="C739" s="7" t="str">
        <f>"078718000"</f>
        <v>078718000</v>
      </c>
      <c r="D739" s="7" t="s">
        <v>929</v>
      </c>
      <c r="E739" s="7">
        <v>78899</v>
      </c>
      <c r="F739" s="7" t="str">
        <f>"078718212"</f>
        <v>078718212</v>
      </c>
      <c r="H739" s="7">
        <v>203</v>
      </c>
      <c r="I739" s="11">
        <v>0.68</v>
      </c>
    </row>
    <row r="740" spans="1:9" ht="28.5">
      <c r="A740" s="7" t="s">
        <v>931</v>
      </c>
      <c r="B740" s="7">
        <v>90333</v>
      </c>
      <c r="C740" s="7" t="str">
        <f>"078570000"</f>
        <v>078570000</v>
      </c>
      <c r="D740" s="7" t="s">
        <v>931</v>
      </c>
      <c r="E740" s="7">
        <v>89866</v>
      </c>
      <c r="F740" s="7" t="str">
        <f>"078570001"</f>
        <v>078570001</v>
      </c>
      <c r="H740" s="7">
        <v>183</v>
      </c>
      <c r="I740" s="11">
        <v>0.52</v>
      </c>
    </row>
    <row r="741" spans="1:9" ht="28.5">
      <c r="A741" s="7" t="s">
        <v>932</v>
      </c>
      <c r="B741" s="7">
        <v>90535</v>
      </c>
      <c r="C741" s="7" t="str">
        <f>"078580000"</f>
        <v>078580000</v>
      </c>
      <c r="D741" s="7" t="s">
        <v>933</v>
      </c>
      <c r="E741" s="7">
        <v>91157</v>
      </c>
      <c r="F741" s="7" t="str">
        <f>"078580001"</f>
        <v>078580001</v>
      </c>
      <c r="H741" s="7">
        <v>198</v>
      </c>
      <c r="I741" s="11">
        <v>0.6</v>
      </c>
    </row>
    <row r="742" spans="1:9">
      <c r="A742" s="7" t="s">
        <v>934</v>
      </c>
      <c r="B742" s="7">
        <v>90334</v>
      </c>
      <c r="C742" s="7" t="str">
        <f>"078571000"</f>
        <v>078571000</v>
      </c>
      <c r="D742" s="7" t="s">
        <v>935</v>
      </c>
      <c r="E742" s="7">
        <v>89868</v>
      </c>
      <c r="F742" s="7" t="str">
        <f>"078571001"</f>
        <v>078571001</v>
      </c>
      <c r="H742" s="7">
        <v>373</v>
      </c>
      <c r="I742" s="11">
        <v>0.63</v>
      </c>
    </row>
    <row r="743" spans="1:9" ht="28.5">
      <c r="A743" s="7" t="s">
        <v>936</v>
      </c>
      <c r="B743" s="7">
        <v>79882</v>
      </c>
      <c r="C743" s="7" t="str">
        <f>"078949000"</f>
        <v>078949000</v>
      </c>
      <c r="D743" s="7" t="s">
        <v>936</v>
      </c>
      <c r="E743" s="7">
        <v>10748</v>
      </c>
      <c r="F743" s="7" t="str">
        <f>"078949001"</f>
        <v>078949001</v>
      </c>
      <c r="G743" s="7" t="s">
        <v>16</v>
      </c>
      <c r="H743" s="7">
        <v>432</v>
      </c>
      <c r="I743" s="11">
        <v>0.91</v>
      </c>
    </row>
    <row r="744" spans="1:9" ht="28.5">
      <c r="A744" s="7" t="s">
        <v>937</v>
      </c>
      <c r="B744" s="7">
        <v>90548</v>
      </c>
      <c r="C744" s="7" t="str">
        <f>"078576000"</f>
        <v>078576000</v>
      </c>
      <c r="D744" s="7" t="s">
        <v>938</v>
      </c>
      <c r="E744" s="7">
        <v>91158</v>
      </c>
      <c r="F744" s="7" t="str">
        <f>"078576001"</f>
        <v>078576001</v>
      </c>
      <c r="H744" s="7">
        <v>521</v>
      </c>
      <c r="I744" s="11">
        <v>0.55000000000000004</v>
      </c>
    </row>
    <row r="745" spans="1:9">
      <c r="A745" s="7" t="s">
        <v>939</v>
      </c>
      <c r="B745" s="7">
        <v>79880</v>
      </c>
      <c r="C745" s="7" t="str">
        <f>"108706000"</f>
        <v>108706000</v>
      </c>
      <c r="D745" s="7" t="s">
        <v>940</v>
      </c>
      <c r="E745" s="7">
        <v>6350</v>
      </c>
      <c r="F745" s="7" t="str">
        <f>"108706001"</f>
        <v>108706001</v>
      </c>
      <c r="H745" s="7">
        <v>153</v>
      </c>
      <c r="I745" s="11">
        <v>0.61</v>
      </c>
    </row>
    <row r="746" spans="1:9" ht="28.5">
      <c r="A746" s="7" t="s">
        <v>941</v>
      </c>
      <c r="B746" s="7">
        <v>79233</v>
      </c>
      <c r="C746" s="7" t="str">
        <f>"078999000"</f>
        <v>078999000</v>
      </c>
      <c r="D746" s="7" t="s">
        <v>941</v>
      </c>
      <c r="E746" s="7">
        <v>78851</v>
      </c>
      <c r="F746" s="7" t="str">
        <f>"078999001"</f>
        <v>078999001</v>
      </c>
      <c r="G746" s="7" t="s">
        <v>16</v>
      </c>
      <c r="H746" s="7">
        <v>304</v>
      </c>
      <c r="I746" s="11" t="s">
        <v>17</v>
      </c>
    </row>
    <row r="747" spans="1:9" ht="28.5">
      <c r="A747" s="7" t="s">
        <v>942</v>
      </c>
      <c r="B747" s="7">
        <v>78965</v>
      </c>
      <c r="C747" s="7" t="str">
        <f>"078765000"</f>
        <v>078765000</v>
      </c>
      <c r="D747" s="7" t="s">
        <v>943</v>
      </c>
      <c r="E747" s="7">
        <v>79178</v>
      </c>
      <c r="F747" s="7" t="str">
        <f>"078765103"</f>
        <v>078765103</v>
      </c>
      <c r="G747" s="7" t="s">
        <v>16</v>
      </c>
      <c r="H747" s="7">
        <v>114</v>
      </c>
      <c r="I747" s="11" t="s">
        <v>17</v>
      </c>
    </row>
    <row r="748" spans="1:9" ht="28.5">
      <c r="A748" s="7" t="s">
        <v>944</v>
      </c>
      <c r="B748" s="7">
        <v>79876</v>
      </c>
      <c r="C748" s="7" t="str">
        <f>"078952000"</f>
        <v>078952000</v>
      </c>
      <c r="D748" s="7" t="s">
        <v>944</v>
      </c>
      <c r="E748" s="7">
        <v>10749</v>
      </c>
      <c r="F748" s="7" t="str">
        <f>"078952001"</f>
        <v>078952001</v>
      </c>
      <c r="G748" s="7" t="s">
        <v>26</v>
      </c>
      <c r="H748" s="7">
        <v>207</v>
      </c>
      <c r="I748" s="11">
        <v>0.71</v>
      </c>
    </row>
    <row r="749" spans="1:9" ht="28.5">
      <c r="A749" s="7" t="s">
        <v>945</v>
      </c>
      <c r="B749" s="7">
        <v>79878</v>
      </c>
      <c r="C749" s="7" t="str">
        <f>"078954000"</f>
        <v>078954000</v>
      </c>
      <c r="D749" s="7" t="s">
        <v>946</v>
      </c>
      <c r="E749" s="7">
        <v>6349</v>
      </c>
      <c r="F749" s="7" t="str">
        <f>"078954001"</f>
        <v>078954001</v>
      </c>
      <c r="G749" s="7" t="s">
        <v>16</v>
      </c>
      <c r="H749" s="7">
        <v>81</v>
      </c>
      <c r="I749" s="11">
        <v>0.84</v>
      </c>
    </row>
    <row r="750" spans="1:9" ht="42.75">
      <c r="A750" s="7" t="s">
        <v>947</v>
      </c>
      <c r="B750" s="7">
        <v>90330</v>
      </c>
      <c r="C750" s="7" t="str">
        <f>"078567000"</f>
        <v>078567000</v>
      </c>
      <c r="D750" s="7" t="s">
        <v>947</v>
      </c>
      <c r="E750" s="7">
        <v>89867</v>
      </c>
      <c r="F750" s="7" t="str">
        <f>"078567001"</f>
        <v>078567001</v>
      </c>
      <c r="G750" s="7" t="s">
        <v>16</v>
      </c>
      <c r="H750" s="7">
        <v>72</v>
      </c>
      <c r="I750" s="11" t="s">
        <v>17</v>
      </c>
    </row>
    <row r="751" spans="1:9" ht="28.5">
      <c r="A751" s="7" t="s">
        <v>948</v>
      </c>
      <c r="B751" s="7">
        <v>79871</v>
      </c>
      <c r="C751" s="7" t="str">
        <f>"078946000"</f>
        <v>078946000</v>
      </c>
      <c r="D751" s="7" t="s">
        <v>949</v>
      </c>
      <c r="E751" s="7">
        <v>79177</v>
      </c>
      <c r="F751" s="7" t="str">
        <f>"078946001"</f>
        <v>078946001</v>
      </c>
      <c r="G751" s="7" t="s">
        <v>16</v>
      </c>
      <c r="H751" s="7">
        <v>33</v>
      </c>
      <c r="I751" s="11" t="s">
        <v>17</v>
      </c>
    </row>
    <row r="752" spans="1:9" ht="28.5">
      <c r="A752" s="7" t="s">
        <v>950</v>
      </c>
      <c r="B752" s="7">
        <v>80072</v>
      </c>
      <c r="C752" s="7" t="str">
        <f>"094008000"</f>
        <v>094008000</v>
      </c>
      <c r="D752" s="7" t="s">
        <v>951</v>
      </c>
      <c r="E752" s="7">
        <v>80074</v>
      </c>
      <c r="F752" s="7" t="str">
        <f>"014011004"</f>
        <v>014011004</v>
      </c>
      <c r="G752" s="7" t="s">
        <v>16</v>
      </c>
      <c r="H752" s="7">
        <v>304</v>
      </c>
      <c r="I752" s="11" t="s">
        <v>17</v>
      </c>
    </row>
    <row r="753" spans="1:9" ht="28.5">
      <c r="A753" s="7" t="s">
        <v>952</v>
      </c>
      <c r="B753" s="7">
        <v>4396</v>
      </c>
      <c r="C753" s="7" t="str">
        <f>"090227000"</f>
        <v>090227000</v>
      </c>
      <c r="D753" s="7" t="s">
        <v>953</v>
      </c>
      <c r="E753" s="7">
        <v>5641</v>
      </c>
      <c r="F753" s="7" t="str">
        <f>"090227102"</f>
        <v>090227102</v>
      </c>
      <c r="G753" s="7" t="s">
        <v>16</v>
      </c>
      <c r="H753" s="7">
        <v>454</v>
      </c>
      <c r="I753" s="11" t="s">
        <v>17</v>
      </c>
    </row>
    <row r="754" spans="1:9" ht="28.5">
      <c r="A754" s="7" t="s">
        <v>952</v>
      </c>
      <c r="B754" s="7">
        <v>4396</v>
      </c>
      <c r="C754" s="7" t="str">
        <f>"090227000"</f>
        <v>090227000</v>
      </c>
      <c r="D754" s="7" t="s">
        <v>954</v>
      </c>
      <c r="E754" s="7">
        <v>5642</v>
      </c>
      <c r="F754" s="7" t="str">
        <f>"090227103"</f>
        <v>090227103</v>
      </c>
      <c r="G754" s="7" t="s">
        <v>16</v>
      </c>
      <c r="H754" s="7">
        <v>462</v>
      </c>
      <c r="I754" s="11" t="s">
        <v>17</v>
      </c>
    </row>
    <row r="755" spans="1:9" ht="28.5">
      <c r="A755" s="7" t="s">
        <v>952</v>
      </c>
      <c r="B755" s="7">
        <v>4396</v>
      </c>
      <c r="C755" s="7" t="str">
        <f>"090227000"</f>
        <v>090227000</v>
      </c>
      <c r="D755" s="7" t="s">
        <v>955</v>
      </c>
      <c r="E755" s="7">
        <v>5644</v>
      </c>
      <c r="F755" s="7" t="str">
        <f>"090227201"</f>
        <v>090227201</v>
      </c>
      <c r="G755" s="7" t="s">
        <v>16</v>
      </c>
      <c r="H755" s="7">
        <v>666</v>
      </c>
      <c r="I755" s="11">
        <v>0.86</v>
      </c>
    </row>
    <row r="756" spans="1:9" ht="28.5">
      <c r="A756" s="7" t="s">
        <v>956</v>
      </c>
      <c r="B756" s="7">
        <v>80382</v>
      </c>
      <c r="C756" s="7" t="str">
        <f>"099109000"</f>
        <v>099109000</v>
      </c>
      <c r="D756" s="7" t="s">
        <v>957</v>
      </c>
      <c r="E756" s="7">
        <v>80383</v>
      </c>
      <c r="F756" s="7" t="str">
        <f>"093906001"</f>
        <v>093906001</v>
      </c>
      <c r="G756" s="7" t="s">
        <v>16</v>
      </c>
      <c r="H756" s="7">
        <v>81</v>
      </c>
      <c r="I756" s="11" t="s">
        <v>17</v>
      </c>
    </row>
    <row r="757" spans="1:9" ht="28.5">
      <c r="A757" s="7" t="s">
        <v>958</v>
      </c>
      <c r="B757" s="7">
        <v>80354</v>
      </c>
      <c r="C757" s="7" t="str">
        <f>"019112000"</f>
        <v>019112000</v>
      </c>
      <c r="D757" s="7" t="s">
        <v>959</v>
      </c>
      <c r="E757" s="7">
        <v>87941</v>
      </c>
      <c r="F757" s="7" t="str">
        <f>"014012007"</f>
        <v>014012007</v>
      </c>
      <c r="G757" s="7" t="s">
        <v>16</v>
      </c>
      <c r="H757" s="7">
        <v>117</v>
      </c>
      <c r="I757" s="11" t="s">
        <v>17</v>
      </c>
    </row>
    <row r="758" spans="1:9" ht="28.5">
      <c r="A758" s="7" t="s">
        <v>960</v>
      </c>
      <c r="B758" s="7">
        <v>79598</v>
      </c>
      <c r="C758" s="7" t="str">
        <f t="shared" ref="C758:C768" si="34">"080220000"</f>
        <v>080220000</v>
      </c>
      <c r="D758" s="7" t="s">
        <v>318</v>
      </c>
      <c r="E758" s="7">
        <v>5577</v>
      </c>
      <c r="F758" s="7" t="str">
        <f>"080220116"</f>
        <v>080220116</v>
      </c>
      <c r="G758" s="7" t="s">
        <v>16</v>
      </c>
      <c r="H758" s="7">
        <v>521</v>
      </c>
      <c r="I758" s="11">
        <v>0.97</v>
      </c>
    </row>
    <row r="759" spans="1:9" ht="28.5">
      <c r="A759" s="7" t="s">
        <v>960</v>
      </c>
      <c r="B759" s="7">
        <v>79598</v>
      </c>
      <c r="C759" s="7" t="str">
        <f t="shared" si="34"/>
        <v>080220000</v>
      </c>
      <c r="D759" s="7" t="s">
        <v>961</v>
      </c>
      <c r="E759" s="7">
        <v>5576</v>
      </c>
      <c r="F759" s="7" t="str">
        <f>"080220115"</f>
        <v>080220115</v>
      </c>
      <c r="G759" s="7" t="s">
        <v>16</v>
      </c>
      <c r="H759" s="7">
        <v>729</v>
      </c>
      <c r="I759" s="11" t="s">
        <v>17</v>
      </c>
    </row>
    <row r="760" spans="1:9" ht="28.5">
      <c r="A760" s="7" t="s">
        <v>960</v>
      </c>
      <c r="B760" s="7">
        <v>79598</v>
      </c>
      <c r="C760" s="7" t="str">
        <f t="shared" si="34"/>
        <v>080220000</v>
      </c>
      <c r="D760" s="7" t="s">
        <v>298</v>
      </c>
      <c r="E760" s="7">
        <v>90667</v>
      </c>
      <c r="F760" s="7" t="str">
        <f>"080220119"</f>
        <v>080220119</v>
      </c>
      <c r="G760" s="7" t="s">
        <v>16</v>
      </c>
      <c r="H760" s="7">
        <v>492</v>
      </c>
      <c r="I760" s="11">
        <v>0.89</v>
      </c>
    </row>
    <row r="761" spans="1:9">
      <c r="A761" s="7" t="s">
        <v>960</v>
      </c>
      <c r="B761" s="7">
        <v>79598</v>
      </c>
      <c r="C761" s="7" t="str">
        <f t="shared" si="34"/>
        <v>080220000</v>
      </c>
      <c r="D761" s="7" t="s">
        <v>962</v>
      </c>
      <c r="E761" s="7">
        <v>5571</v>
      </c>
      <c r="F761" s="7" t="str">
        <f>"080220110"</f>
        <v>080220110</v>
      </c>
      <c r="H761" s="7">
        <v>795</v>
      </c>
      <c r="I761" s="11">
        <v>0.62</v>
      </c>
    </row>
    <row r="762" spans="1:9">
      <c r="A762" s="7" t="s">
        <v>960</v>
      </c>
      <c r="B762" s="7">
        <v>79598</v>
      </c>
      <c r="C762" s="7" t="str">
        <f t="shared" si="34"/>
        <v>080220000</v>
      </c>
      <c r="D762" s="7" t="s">
        <v>963</v>
      </c>
      <c r="E762" s="7">
        <v>5595</v>
      </c>
      <c r="F762" s="7" t="str">
        <f>"080220202"</f>
        <v>080220202</v>
      </c>
      <c r="H762" s="7">
        <v>957</v>
      </c>
      <c r="I762" s="11">
        <v>0.67</v>
      </c>
    </row>
    <row r="763" spans="1:9" ht="28.5">
      <c r="A763" s="7" t="s">
        <v>960</v>
      </c>
      <c r="B763" s="7">
        <v>79598</v>
      </c>
      <c r="C763" s="7" t="str">
        <f t="shared" si="34"/>
        <v>080220000</v>
      </c>
      <c r="D763" s="7" t="s">
        <v>964</v>
      </c>
      <c r="E763" s="7">
        <v>5575</v>
      </c>
      <c r="F763" s="7" t="str">
        <f>"080220114"</f>
        <v>080220114</v>
      </c>
      <c r="G763" s="7" t="s">
        <v>16</v>
      </c>
      <c r="H763" s="7">
        <v>717</v>
      </c>
      <c r="I763" s="11">
        <v>0.92</v>
      </c>
    </row>
    <row r="764" spans="1:9" ht="28.5">
      <c r="A764" s="7" t="s">
        <v>960</v>
      </c>
      <c r="B764" s="7">
        <v>79598</v>
      </c>
      <c r="C764" s="7" t="str">
        <f t="shared" si="34"/>
        <v>080220000</v>
      </c>
      <c r="D764" s="7" t="s">
        <v>965</v>
      </c>
      <c r="E764" s="7">
        <v>5572</v>
      </c>
      <c r="F764" s="7" t="str">
        <f>"080220111"</f>
        <v>080220111</v>
      </c>
      <c r="G764" s="7" t="s">
        <v>16</v>
      </c>
      <c r="H764" s="7">
        <v>218</v>
      </c>
      <c r="I764" s="11">
        <v>0.87</v>
      </c>
    </row>
    <row r="765" spans="1:9">
      <c r="A765" s="7" t="s">
        <v>960</v>
      </c>
      <c r="B765" s="7">
        <v>79598</v>
      </c>
      <c r="C765" s="7" t="str">
        <f t="shared" si="34"/>
        <v>080220000</v>
      </c>
      <c r="D765" s="7" t="s">
        <v>966</v>
      </c>
      <c r="E765" s="7">
        <v>91772</v>
      </c>
      <c r="F765" s="7" t="str">
        <f>"080220203"</f>
        <v>080220203</v>
      </c>
      <c r="H765" s="7">
        <v>1110</v>
      </c>
      <c r="I765" s="11">
        <v>0.46</v>
      </c>
    </row>
    <row r="766" spans="1:9" ht="28.5">
      <c r="A766" s="7" t="s">
        <v>960</v>
      </c>
      <c r="B766" s="7">
        <v>79598</v>
      </c>
      <c r="C766" s="7" t="str">
        <f t="shared" si="34"/>
        <v>080220000</v>
      </c>
      <c r="D766" s="7" t="s">
        <v>967</v>
      </c>
      <c r="E766" s="7">
        <v>5573</v>
      </c>
      <c r="F766" s="7" t="str">
        <f>"080220112"</f>
        <v>080220112</v>
      </c>
      <c r="G766" s="7" t="s">
        <v>16</v>
      </c>
      <c r="H766" s="7">
        <v>816</v>
      </c>
      <c r="I766" s="11">
        <v>0.72</v>
      </c>
    </row>
    <row r="767" spans="1:9" ht="28.5">
      <c r="A767" s="7" t="s">
        <v>960</v>
      </c>
      <c r="B767" s="7">
        <v>79598</v>
      </c>
      <c r="C767" s="7" t="str">
        <f t="shared" si="34"/>
        <v>080220000</v>
      </c>
      <c r="D767" s="7" t="s">
        <v>968</v>
      </c>
      <c r="E767" s="7">
        <v>5580</v>
      </c>
      <c r="F767" s="7" t="str">
        <f>"080220117"</f>
        <v>080220117</v>
      </c>
      <c r="G767" s="7" t="s">
        <v>16</v>
      </c>
      <c r="H767" s="7">
        <v>198</v>
      </c>
      <c r="I767" s="11" t="s">
        <v>17</v>
      </c>
    </row>
    <row r="768" spans="1:9">
      <c r="A768" s="7" t="s">
        <v>960</v>
      </c>
      <c r="B768" s="7">
        <v>79598</v>
      </c>
      <c r="C768" s="7" t="str">
        <f t="shared" si="34"/>
        <v>080220000</v>
      </c>
      <c r="D768" s="7" t="s">
        <v>969</v>
      </c>
      <c r="E768" s="7">
        <v>88409</v>
      </c>
      <c r="F768" s="7" t="str">
        <f>"080220118"</f>
        <v>080220118</v>
      </c>
      <c r="H768" s="7">
        <v>592</v>
      </c>
      <c r="I768" s="11">
        <v>0.52</v>
      </c>
    </row>
    <row r="769" spans="1:9">
      <c r="A769" s="7" t="s">
        <v>970</v>
      </c>
      <c r="B769" s="7">
        <v>4480</v>
      </c>
      <c r="C769" s="7" t="str">
        <f>"130323000"</f>
        <v>130323000</v>
      </c>
      <c r="D769" s="7" t="s">
        <v>971</v>
      </c>
      <c r="E769" s="7">
        <v>6115</v>
      </c>
      <c r="F769" s="7" t="str">
        <f>"130323001"</f>
        <v>130323001</v>
      </c>
      <c r="G769" s="7" t="s">
        <v>26</v>
      </c>
      <c r="H769" s="7">
        <v>74</v>
      </c>
      <c r="I769" s="11">
        <v>0.77</v>
      </c>
    </row>
    <row r="770" spans="1:9">
      <c r="A770" s="7" t="s">
        <v>972</v>
      </c>
      <c r="B770" s="7">
        <v>4267</v>
      </c>
      <c r="C770" s="7" t="str">
        <f t="shared" ref="C770:C796" si="35">"070428000"</f>
        <v>070428000</v>
      </c>
      <c r="D770" s="7" t="s">
        <v>973</v>
      </c>
      <c r="E770" s="7">
        <v>5302</v>
      </c>
      <c r="F770" s="7" t="str">
        <f>"070428142"</f>
        <v>070428142</v>
      </c>
      <c r="H770" s="7">
        <v>454</v>
      </c>
      <c r="I770" s="11">
        <v>0.3</v>
      </c>
    </row>
    <row r="771" spans="1:9">
      <c r="A771" s="7" t="s">
        <v>972</v>
      </c>
      <c r="B771" s="7">
        <v>4267</v>
      </c>
      <c r="C771" s="7" t="str">
        <f t="shared" si="35"/>
        <v>070428000</v>
      </c>
      <c r="D771" s="7" t="s">
        <v>974</v>
      </c>
      <c r="E771" s="7">
        <v>5298</v>
      </c>
      <c r="F771" s="7" t="str">
        <f>"070428138"</f>
        <v>070428138</v>
      </c>
      <c r="H771" s="7">
        <v>820</v>
      </c>
      <c r="I771" s="11">
        <v>0.36</v>
      </c>
    </row>
    <row r="772" spans="1:9">
      <c r="A772" s="7" t="s">
        <v>972</v>
      </c>
      <c r="B772" s="7">
        <v>4267</v>
      </c>
      <c r="C772" s="7" t="str">
        <f t="shared" si="35"/>
        <v>070428000</v>
      </c>
      <c r="D772" s="7" t="s">
        <v>975</v>
      </c>
      <c r="E772" s="7">
        <v>5297</v>
      </c>
      <c r="F772" s="7" t="str">
        <f>"070428137"</f>
        <v>070428137</v>
      </c>
      <c r="H772" s="7">
        <v>925</v>
      </c>
      <c r="I772" s="11">
        <v>0.16</v>
      </c>
    </row>
    <row r="773" spans="1:9">
      <c r="A773" s="7" t="s">
        <v>972</v>
      </c>
      <c r="B773" s="7">
        <v>4267</v>
      </c>
      <c r="C773" s="7" t="str">
        <f t="shared" si="35"/>
        <v>070428000</v>
      </c>
      <c r="D773" s="7" t="s">
        <v>976</v>
      </c>
      <c r="E773" s="7">
        <v>5296</v>
      </c>
      <c r="F773" s="7" t="str">
        <f>"070428136"</f>
        <v>070428136</v>
      </c>
      <c r="H773" s="7">
        <v>842</v>
      </c>
      <c r="I773" s="11">
        <v>0.28999999999999998</v>
      </c>
    </row>
    <row r="774" spans="1:9">
      <c r="A774" s="7" t="s">
        <v>972</v>
      </c>
      <c r="B774" s="7">
        <v>4267</v>
      </c>
      <c r="C774" s="7" t="str">
        <f t="shared" si="35"/>
        <v>070428000</v>
      </c>
      <c r="D774" s="7" t="s">
        <v>977</v>
      </c>
      <c r="E774" s="7">
        <v>5299</v>
      </c>
      <c r="F774" s="7" t="str">
        <f>"070428139"</f>
        <v>070428139</v>
      </c>
      <c r="H774" s="7">
        <v>591</v>
      </c>
      <c r="I774" s="11">
        <v>0.56999999999999995</v>
      </c>
    </row>
    <row r="775" spans="1:9">
      <c r="A775" s="7" t="s">
        <v>972</v>
      </c>
      <c r="B775" s="7">
        <v>4267</v>
      </c>
      <c r="C775" s="7" t="str">
        <f t="shared" si="35"/>
        <v>070428000</v>
      </c>
      <c r="D775" s="7" t="s">
        <v>978</v>
      </c>
      <c r="E775" s="7">
        <v>5308</v>
      </c>
      <c r="F775" s="7" t="str">
        <f>"070428148"</f>
        <v>070428148</v>
      </c>
      <c r="H775" s="7">
        <v>469</v>
      </c>
      <c r="I775" s="11">
        <v>0.51</v>
      </c>
    </row>
    <row r="776" spans="1:9">
      <c r="A776" s="7" t="s">
        <v>972</v>
      </c>
      <c r="B776" s="7">
        <v>4267</v>
      </c>
      <c r="C776" s="7" t="str">
        <f t="shared" si="35"/>
        <v>070428000</v>
      </c>
      <c r="D776" s="7" t="s">
        <v>979</v>
      </c>
      <c r="E776" s="7">
        <v>5315</v>
      </c>
      <c r="F776" s="7" t="str">
        <f>"070428155"</f>
        <v>070428155</v>
      </c>
      <c r="H776" s="7">
        <v>436</v>
      </c>
      <c r="I776" s="11">
        <v>0.5</v>
      </c>
    </row>
    <row r="777" spans="1:9" ht="28.5">
      <c r="A777" s="7" t="s">
        <v>972</v>
      </c>
      <c r="B777" s="7">
        <v>4267</v>
      </c>
      <c r="C777" s="7" t="str">
        <f t="shared" si="35"/>
        <v>070428000</v>
      </c>
      <c r="D777" s="7" t="s">
        <v>980</v>
      </c>
      <c r="E777" s="7">
        <v>78923</v>
      </c>
      <c r="F777" s="7" t="str">
        <f>"070428158"</f>
        <v>070428158</v>
      </c>
      <c r="H777" s="7">
        <v>450</v>
      </c>
      <c r="I777" s="11">
        <v>0.38</v>
      </c>
    </row>
    <row r="778" spans="1:9">
      <c r="A778" s="7" t="s">
        <v>972</v>
      </c>
      <c r="B778" s="7">
        <v>4267</v>
      </c>
      <c r="C778" s="7" t="str">
        <f t="shared" si="35"/>
        <v>070428000</v>
      </c>
      <c r="D778" s="7" t="s">
        <v>981</v>
      </c>
      <c r="E778" s="7">
        <v>5310</v>
      </c>
      <c r="F778" s="7" t="str">
        <f>"070428150"</f>
        <v>070428150</v>
      </c>
      <c r="H778" s="7">
        <v>459</v>
      </c>
      <c r="I778" s="11">
        <v>0.41</v>
      </c>
    </row>
    <row r="779" spans="1:9">
      <c r="A779" s="7" t="s">
        <v>972</v>
      </c>
      <c r="B779" s="7">
        <v>4267</v>
      </c>
      <c r="C779" s="7" t="str">
        <f t="shared" si="35"/>
        <v>070428000</v>
      </c>
      <c r="D779" s="7" t="s">
        <v>982</v>
      </c>
      <c r="E779" s="7">
        <v>5314</v>
      </c>
      <c r="F779" s="7" t="str">
        <f>"070428154"</f>
        <v>070428154</v>
      </c>
      <c r="H779" s="7">
        <v>603</v>
      </c>
      <c r="I779" s="11">
        <v>0.3</v>
      </c>
    </row>
    <row r="780" spans="1:9">
      <c r="A780" s="7" t="s">
        <v>972</v>
      </c>
      <c r="B780" s="7">
        <v>4267</v>
      </c>
      <c r="C780" s="7" t="str">
        <f t="shared" si="35"/>
        <v>070428000</v>
      </c>
      <c r="D780" s="7" t="s">
        <v>983</v>
      </c>
      <c r="E780" s="7">
        <v>5307</v>
      </c>
      <c r="F780" s="7" t="str">
        <f>"070428147"</f>
        <v>070428147</v>
      </c>
      <c r="H780" s="7">
        <v>477</v>
      </c>
      <c r="I780" s="11">
        <v>0.36</v>
      </c>
    </row>
    <row r="781" spans="1:9">
      <c r="A781" s="7" t="s">
        <v>972</v>
      </c>
      <c r="B781" s="7">
        <v>4267</v>
      </c>
      <c r="C781" s="7" t="str">
        <f t="shared" si="35"/>
        <v>070428000</v>
      </c>
      <c r="D781" s="7" t="s">
        <v>984</v>
      </c>
      <c r="E781" s="7">
        <v>5313</v>
      </c>
      <c r="F781" s="7" t="str">
        <f>"070428153"</f>
        <v>070428153</v>
      </c>
      <c r="H781" s="7">
        <v>515</v>
      </c>
      <c r="I781" s="11">
        <v>0.18</v>
      </c>
    </row>
    <row r="782" spans="1:9">
      <c r="A782" s="7" t="s">
        <v>972</v>
      </c>
      <c r="B782" s="7">
        <v>4267</v>
      </c>
      <c r="C782" s="7" t="str">
        <f t="shared" si="35"/>
        <v>070428000</v>
      </c>
      <c r="D782" s="7" t="s">
        <v>985</v>
      </c>
      <c r="E782" s="7">
        <v>5316</v>
      </c>
      <c r="F782" s="7" t="str">
        <f>"070428156"</f>
        <v>070428156</v>
      </c>
      <c r="H782" s="7">
        <v>608</v>
      </c>
      <c r="I782" s="11">
        <v>0.4</v>
      </c>
    </row>
    <row r="783" spans="1:9">
      <c r="A783" s="7" t="s">
        <v>972</v>
      </c>
      <c r="B783" s="7">
        <v>4267</v>
      </c>
      <c r="C783" s="7" t="str">
        <f t="shared" si="35"/>
        <v>070428000</v>
      </c>
      <c r="D783" s="7" t="s">
        <v>986</v>
      </c>
      <c r="E783" s="7">
        <v>5304</v>
      </c>
      <c r="F783" s="7" t="str">
        <f>"070428144"</f>
        <v>070428144</v>
      </c>
      <c r="H783" s="7">
        <v>478</v>
      </c>
      <c r="I783" s="11">
        <v>0.61</v>
      </c>
    </row>
    <row r="784" spans="1:9">
      <c r="A784" s="7" t="s">
        <v>972</v>
      </c>
      <c r="B784" s="7">
        <v>4267</v>
      </c>
      <c r="C784" s="7" t="str">
        <f t="shared" si="35"/>
        <v>070428000</v>
      </c>
      <c r="D784" s="7" t="s">
        <v>987</v>
      </c>
      <c r="E784" s="7">
        <v>5318</v>
      </c>
      <c r="F784" s="7" t="str">
        <f>"070428159"</f>
        <v>070428159</v>
      </c>
      <c r="H784" s="7">
        <v>469</v>
      </c>
      <c r="I784" s="11">
        <v>0.43</v>
      </c>
    </row>
    <row r="785" spans="1:9">
      <c r="A785" s="7" t="s">
        <v>972</v>
      </c>
      <c r="B785" s="7">
        <v>4267</v>
      </c>
      <c r="C785" s="7" t="str">
        <f t="shared" si="35"/>
        <v>070428000</v>
      </c>
      <c r="D785" s="7" t="s">
        <v>988</v>
      </c>
      <c r="E785" s="7">
        <v>5317</v>
      </c>
      <c r="F785" s="7" t="str">
        <f>"070428157"</f>
        <v>070428157</v>
      </c>
      <c r="H785" s="7">
        <v>435</v>
      </c>
      <c r="I785" s="11">
        <v>0.19</v>
      </c>
    </row>
    <row r="786" spans="1:9">
      <c r="A786" s="7" t="s">
        <v>972</v>
      </c>
      <c r="B786" s="7">
        <v>4267</v>
      </c>
      <c r="C786" s="7" t="str">
        <f t="shared" si="35"/>
        <v>070428000</v>
      </c>
      <c r="D786" s="7" t="s">
        <v>989</v>
      </c>
      <c r="E786" s="7">
        <v>5311</v>
      </c>
      <c r="F786" s="7" t="str">
        <f>"070428151"</f>
        <v>070428151</v>
      </c>
      <c r="H786" s="7">
        <v>508</v>
      </c>
      <c r="I786" s="11">
        <v>0.2</v>
      </c>
    </row>
    <row r="787" spans="1:9" ht="28.5">
      <c r="A787" s="7" t="s">
        <v>972</v>
      </c>
      <c r="B787" s="7">
        <v>4267</v>
      </c>
      <c r="C787" s="7" t="str">
        <f t="shared" si="35"/>
        <v>070428000</v>
      </c>
      <c r="D787" s="7" t="s">
        <v>990</v>
      </c>
      <c r="E787" s="7">
        <v>5305</v>
      </c>
      <c r="F787" s="7" t="str">
        <f>"070428145"</f>
        <v>070428145</v>
      </c>
      <c r="G787" s="7" t="s">
        <v>16</v>
      </c>
      <c r="H787" s="7">
        <v>405</v>
      </c>
      <c r="I787" s="12">
        <v>0.9</v>
      </c>
    </row>
    <row r="788" spans="1:9">
      <c r="A788" s="7" t="s">
        <v>972</v>
      </c>
      <c r="B788" s="7">
        <v>4267</v>
      </c>
      <c r="C788" s="7" t="str">
        <f t="shared" si="35"/>
        <v>070428000</v>
      </c>
      <c r="D788" s="7" t="s">
        <v>991</v>
      </c>
      <c r="E788" s="7">
        <v>5306</v>
      </c>
      <c r="F788" s="7" t="str">
        <f>"070428146"</f>
        <v>070428146</v>
      </c>
      <c r="H788" s="7">
        <v>685</v>
      </c>
      <c r="I788" s="11">
        <v>0.24</v>
      </c>
    </row>
    <row r="789" spans="1:9">
      <c r="A789" s="7" t="s">
        <v>972</v>
      </c>
      <c r="B789" s="7">
        <v>4267</v>
      </c>
      <c r="C789" s="7" t="str">
        <f t="shared" si="35"/>
        <v>070428000</v>
      </c>
      <c r="D789" s="7" t="s">
        <v>992</v>
      </c>
      <c r="E789" s="7">
        <v>79143</v>
      </c>
      <c r="F789" s="7" t="str">
        <f>"070428160"</f>
        <v>070428160</v>
      </c>
      <c r="H789" s="7">
        <v>540</v>
      </c>
      <c r="I789" s="11">
        <v>0.5</v>
      </c>
    </row>
    <row r="790" spans="1:9">
      <c r="A790" s="7" t="s">
        <v>972</v>
      </c>
      <c r="B790" s="7">
        <v>4267</v>
      </c>
      <c r="C790" s="7" t="str">
        <f t="shared" si="35"/>
        <v>070428000</v>
      </c>
      <c r="D790" s="7" t="s">
        <v>993</v>
      </c>
      <c r="E790" s="7">
        <v>5303</v>
      </c>
      <c r="F790" s="7" t="str">
        <f>"070428143"</f>
        <v>070428143</v>
      </c>
      <c r="H790" s="7">
        <v>512</v>
      </c>
      <c r="I790" s="11">
        <v>0.26</v>
      </c>
    </row>
    <row r="791" spans="1:9">
      <c r="A791" s="7" t="s">
        <v>972</v>
      </c>
      <c r="B791" s="7">
        <v>4267</v>
      </c>
      <c r="C791" s="7" t="str">
        <f t="shared" si="35"/>
        <v>070428000</v>
      </c>
      <c r="D791" s="7" t="s">
        <v>994</v>
      </c>
      <c r="E791" s="7">
        <v>5300</v>
      </c>
      <c r="F791" s="7" t="str">
        <f>"070428140"</f>
        <v>070428140</v>
      </c>
      <c r="H791" s="7">
        <v>603</v>
      </c>
      <c r="I791" s="11">
        <v>0.31</v>
      </c>
    </row>
    <row r="792" spans="1:9">
      <c r="A792" s="7" t="s">
        <v>972</v>
      </c>
      <c r="B792" s="7">
        <v>4267</v>
      </c>
      <c r="C792" s="7" t="str">
        <f t="shared" si="35"/>
        <v>070428000</v>
      </c>
      <c r="D792" s="7" t="s">
        <v>995</v>
      </c>
      <c r="E792" s="7">
        <v>5301</v>
      </c>
      <c r="F792" s="7" t="str">
        <f>"070428141"</f>
        <v>070428141</v>
      </c>
      <c r="H792" s="7">
        <v>737</v>
      </c>
      <c r="I792" s="11">
        <v>0.51</v>
      </c>
    </row>
    <row r="793" spans="1:9">
      <c r="A793" s="7" t="s">
        <v>972</v>
      </c>
      <c r="B793" s="7">
        <v>4267</v>
      </c>
      <c r="C793" s="7" t="str">
        <f t="shared" si="35"/>
        <v>070428000</v>
      </c>
      <c r="D793" s="7" t="s">
        <v>996</v>
      </c>
      <c r="E793" s="7">
        <v>5312</v>
      </c>
      <c r="F793" s="7" t="str">
        <f>"070428152"</f>
        <v>070428152</v>
      </c>
      <c r="H793" s="7">
        <v>516</v>
      </c>
      <c r="I793" s="11">
        <v>0.15</v>
      </c>
    </row>
    <row r="794" spans="1:9">
      <c r="A794" s="7" t="s">
        <v>972</v>
      </c>
      <c r="B794" s="7">
        <v>4267</v>
      </c>
      <c r="C794" s="7" t="str">
        <f t="shared" si="35"/>
        <v>070428000</v>
      </c>
      <c r="D794" s="7" t="s">
        <v>997</v>
      </c>
      <c r="E794" s="7">
        <v>5309</v>
      </c>
      <c r="F794" s="7" t="str">
        <f>"070428149"</f>
        <v>070428149</v>
      </c>
      <c r="H794" s="7">
        <v>595</v>
      </c>
      <c r="I794" s="11">
        <v>0.53</v>
      </c>
    </row>
    <row r="795" spans="1:9">
      <c r="A795" s="7" t="s">
        <v>972</v>
      </c>
      <c r="B795" s="7">
        <v>4267</v>
      </c>
      <c r="C795" s="7" t="str">
        <f t="shared" si="35"/>
        <v>070428000</v>
      </c>
      <c r="D795" s="7" t="s">
        <v>998</v>
      </c>
      <c r="E795" s="7">
        <v>127500</v>
      </c>
      <c r="F795" s="7" t="str">
        <f>"072190004"</f>
        <v>072190004</v>
      </c>
      <c r="H795" s="7">
        <v>220</v>
      </c>
      <c r="I795" s="11">
        <v>0.4</v>
      </c>
    </row>
    <row r="796" spans="1:9">
      <c r="A796" s="7" t="s">
        <v>972</v>
      </c>
      <c r="B796" s="7">
        <v>4267</v>
      </c>
      <c r="C796" s="7" t="str">
        <f t="shared" si="35"/>
        <v>070428000</v>
      </c>
      <c r="D796" s="7" t="s">
        <v>999</v>
      </c>
      <c r="E796" s="7">
        <v>87058</v>
      </c>
      <c r="F796" s="7" t="str">
        <f>"072190002"</f>
        <v>072190002</v>
      </c>
      <c r="H796" s="7">
        <v>158</v>
      </c>
      <c r="I796" s="11">
        <v>0.76</v>
      </c>
    </row>
    <row r="797" spans="1:9">
      <c r="A797" s="7" t="s">
        <v>1000</v>
      </c>
      <c r="B797" s="7">
        <v>7909</v>
      </c>
      <c r="C797" s="7" t="str">
        <f>"102133000"</f>
        <v>102133000</v>
      </c>
      <c r="D797" s="7" t="s">
        <v>1001</v>
      </c>
      <c r="E797" s="7">
        <v>80449</v>
      </c>
      <c r="F797" s="7" t="str">
        <f>"102133010"</f>
        <v>102133010</v>
      </c>
      <c r="H797" s="7" t="s">
        <v>651</v>
      </c>
      <c r="I797" s="11" t="s">
        <v>17</v>
      </c>
    </row>
    <row r="798" spans="1:9">
      <c r="A798" s="7" t="s">
        <v>1002</v>
      </c>
      <c r="B798" s="7">
        <v>4368</v>
      </c>
      <c r="C798" s="7" t="str">
        <f t="shared" ref="C798:C805" si="36">"080201000"</f>
        <v>080201000</v>
      </c>
      <c r="D798" s="7" t="s">
        <v>814</v>
      </c>
      <c r="E798" s="7">
        <v>5561</v>
      </c>
      <c r="F798" s="7" t="str">
        <f>"080201103"</f>
        <v>080201103</v>
      </c>
      <c r="H798" s="7">
        <v>316</v>
      </c>
      <c r="I798" s="11">
        <v>0.71</v>
      </c>
    </row>
    <row r="799" spans="1:9">
      <c r="A799" s="7" t="s">
        <v>1002</v>
      </c>
      <c r="B799" s="7">
        <v>4368</v>
      </c>
      <c r="C799" s="7" t="str">
        <f t="shared" si="36"/>
        <v>080201000</v>
      </c>
      <c r="D799" s="7" t="s">
        <v>1003</v>
      </c>
      <c r="E799" s="7">
        <v>78979</v>
      </c>
      <c r="F799" s="7" t="str">
        <f>"080201109"</f>
        <v>080201109</v>
      </c>
      <c r="H799" s="7">
        <v>421</v>
      </c>
      <c r="I799" s="11">
        <v>0.48</v>
      </c>
    </row>
    <row r="800" spans="1:9">
      <c r="A800" s="7" t="s">
        <v>1002</v>
      </c>
      <c r="B800" s="7">
        <v>4368</v>
      </c>
      <c r="C800" s="7" t="str">
        <f t="shared" si="36"/>
        <v>080201000</v>
      </c>
      <c r="D800" s="7" t="s">
        <v>1004</v>
      </c>
      <c r="E800" s="7">
        <v>5565</v>
      </c>
      <c r="F800" s="7" t="str">
        <f>"080201207"</f>
        <v>080201207</v>
      </c>
      <c r="H800" s="7">
        <v>1618</v>
      </c>
      <c r="I800" s="11">
        <v>0.45</v>
      </c>
    </row>
    <row r="801" spans="1:9">
      <c r="A801" s="7" t="s">
        <v>1002</v>
      </c>
      <c r="B801" s="7">
        <v>4368</v>
      </c>
      <c r="C801" s="7" t="str">
        <f t="shared" si="36"/>
        <v>080201000</v>
      </c>
      <c r="D801" s="7" t="s">
        <v>1005</v>
      </c>
      <c r="E801" s="7">
        <v>5563</v>
      </c>
      <c r="F801" s="7" t="str">
        <f>"080201105"</f>
        <v>080201105</v>
      </c>
      <c r="H801" s="7">
        <v>305</v>
      </c>
      <c r="I801" s="11">
        <v>0.66</v>
      </c>
    </row>
    <row r="802" spans="1:9">
      <c r="A802" s="7" t="s">
        <v>1002</v>
      </c>
      <c r="B802" s="7">
        <v>4368</v>
      </c>
      <c r="C802" s="7" t="str">
        <f t="shared" si="36"/>
        <v>080201000</v>
      </c>
      <c r="D802" s="7" t="s">
        <v>1006</v>
      </c>
      <c r="E802" s="7">
        <v>5564</v>
      </c>
      <c r="F802" s="7" t="str">
        <f>"080201106"</f>
        <v>080201106</v>
      </c>
      <c r="H802" s="7">
        <v>370</v>
      </c>
      <c r="I802" s="11">
        <v>0.55000000000000004</v>
      </c>
    </row>
    <row r="803" spans="1:9">
      <c r="A803" s="7" t="s">
        <v>1002</v>
      </c>
      <c r="B803" s="7">
        <v>4368</v>
      </c>
      <c r="C803" s="7" t="str">
        <f t="shared" si="36"/>
        <v>080201000</v>
      </c>
      <c r="D803" s="7" t="s">
        <v>1007</v>
      </c>
      <c r="E803" s="7">
        <v>5559</v>
      </c>
      <c r="F803" s="7" t="str">
        <f>"080201101"</f>
        <v>080201101</v>
      </c>
      <c r="H803" s="7">
        <v>574</v>
      </c>
      <c r="I803" s="11">
        <v>0.67</v>
      </c>
    </row>
    <row r="804" spans="1:9">
      <c r="A804" s="7" t="s">
        <v>1002</v>
      </c>
      <c r="B804" s="7">
        <v>4368</v>
      </c>
      <c r="C804" s="7" t="str">
        <f t="shared" si="36"/>
        <v>080201000</v>
      </c>
      <c r="D804" s="7" t="s">
        <v>1008</v>
      </c>
      <c r="E804" s="7">
        <v>5562</v>
      </c>
      <c r="F804" s="7" t="str">
        <f>"080201104"</f>
        <v>080201104</v>
      </c>
      <c r="H804" s="7">
        <v>631</v>
      </c>
      <c r="I804" s="11">
        <v>0.47</v>
      </c>
    </row>
    <row r="805" spans="1:9">
      <c r="A805" s="7" t="s">
        <v>1002</v>
      </c>
      <c r="B805" s="7">
        <v>4368</v>
      </c>
      <c r="C805" s="7" t="str">
        <f t="shared" si="36"/>
        <v>080201000</v>
      </c>
      <c r="D805" s="7" t="s">
        <v>1009</v>
      </c>
      <c r="E805" s="7">
        <v>5560</v>
      </c>
      <c r="F805" s="7" t="str">
        <f>"080201102"</f>
        <v>080201102</v>
      </c>
      <c r="H805" s="7">
        <v>781</v>
      </c>
      <c r="I805" s="11">
        <v>0.55000000000000004</v>
      </c>
    </row>
    <row r="806" spans="1:9">
      <c r="A806" s="7" t="s">
        <v>1010</v>
      </c>
      <c r="B806" s="7">
        <v>4276</v>
      </c>
      <c r="C806" s="7" t="str">
        <f t="shared" ref="C806:C814" si="37">"070459000"</f>
        <v>070459000</v>
      </c>
      <c r="D806" s="7" t="s">
        <v>1011</v>
      </c>
      <c r="E806" s="7">
        <v>84305</v>
      </c>
      <c r="F806" s="7" t="str">
        <f>"070459104"</f>
        <v>070459104</v>
      </c>
      <c r="H806" s="7">
        <v>745</v>
      </c>
      <c r="I806" s="11">
        <v>0.8</v>
      </c>
    </row>
    <row r="807" spans="1:9" ht="28.5">
      <c r="A807" s="7" t="s">
        <v>1010</v>
      </c>
      <c r="B807" s="7">
        <v>4276</v>
      </c>
      <c r="C807" s="7" t="str">
        <f t="shared" si="37"/>
        <v>070459000</v>
      </c>
      <c r="D807" s="7" t="s">
        <v>1012</v>
      </c>
      <c r="E807" s="7">
        <v>89266</v>
      </c>
      <c r="F807" s="7" t="str">
        <f>"070459106"</f>
        <v>070459106</v>
      </c>
      <c r="H807" s="7">
        <v>959</v>
      </c>
      <c r="I807" s="11">
        <v>0.73</v>
      </c>
    </row>
    <row r="808" spans="1:9">
      <c r="A808" s="7" t="s">
        <v>1010</v>
      </c>
      <c r="B808" s="7">
        <v>4276</v>
      </c>
      <c r="C808" s="7" t="str">
        <f t="shared" si="37"/>
        <v>070459000</v>
      </c>
      <c r="D808" s="7" t="s">
        <v>1013</v>
      </c>
      <c r="E808" s="7">
        <v>1000300</v>
      </c>
      <c r="F808" s="7" t="str">
        <f>"070459109"</f>
        <v>070459109</v>
      </c>
      <c r="H808" s="7">
        <v>919</v>
      </c>
      <c r="I808" s="11">
        <v>0.59</v>
      </c>
    </row>
    <row r="809" spans="1:9">
      <c r="A809" s="7" t="s">
        <v>1010</v>
      </c>
      <c r="B809" s="7">
        <v>4276</v>
      </c>
      <c r="C809" s="7" t="str">
        <f t="shared" si="37"/>
        <v>070459000</v>
      </c>
      <c r="D809" s="7" t="s">
        <v>1014</v>
      </c>
      <c r="E809" s="7">
        <v>5356</v>
      </c>
      <c r="F809" s="7" t="str">
        <f>"070459101"</f>
        <v>070459101</v>
      </c>
      <c r="H809" s="7">
        <v>841</v>
      </c>
      <c r="I809" s="11">
        <v>0.72</v>
      </c>
    </row>
    <row r="810" spans="1:9" ht="28.5">
      <c r="A810" s="7" t="s">
        <v>1010</v>
      </c>
      <c r="B810" s="7">
        <v>4276</v>
      </c>
      <c r="C810" s="7" t="str">
        <f t="shared" si="37"/>
        <v>070459000</v>
      </c>
      <c r="D810" s="7" t="s">
        <v>1015</v>
      </c>
      <c r="E810" s="7">
        <v>5357</v>
      </c>
      <c r="F810" s="7" t="str">
        <f>"070459102"</f>
        <v>070459102</v>
      </c>
      <c r="H810" s="7">
        <v>818</v>
      </c>
      <c r="I810" s="11">
        <v>0.91</v>
      </c>
    </row>
    <row r="811" spans="1:9" ht="28.5">
      <c r="A811" s="7" t="s">
        <v>1010</v>
      </c>
      <c r="B811" s="7">
        <v>4276</v>
      </c>
      <c r="C811" s="7" t="str">
        <f t="shared" si="37"/>
        <v>070459000</v>
      </c>
      <c r="D811" s="7" t="s">
        <v>1016</v>
      </c>
      <c r="E811" s="7">
        <v>756942</v>
      </c>
      <c r="F811" s="7" t="str">
        <f>"070459108"</f>
        <v>070459108</v>
      </c>
      <c r="H811" s="7">
        <v>977</v>
      </c>
      <c r="I811" s="11">
        <v>0.63</v>
      </c>
    </row>
    <row r="812" spans="1:9">
      <c r="A812" s="7" t="s">
        <v>1010</v>
      </c>
      <c r="B812" s="7">
        <v>4276</v>
      </c>
      <c r="C812" s="7" t="str">
        <f t="shared" si="37"/>
        <v>070459000</v>
      </c>
      <c r="D812" s="7" t="s">
        <v>1017</v>
      </c>
      <c r="E812" s="7">
        <v>91310</v>
      </c>
      <c r="F812" s="7" t="str">
        <f>"070459107"</f>
        <v>070459107</v>
      </c>
      <c r="H812" s="7">
        <v>1058</v>
      </c>
      <c r="I812" s="11">
        <v>0.78</v>
      </c>
    </row>
    <row r="813" spans="1:9" ht="28.5">
      <c r="A813" s="7" t="s">
        <v>1010</v>
      </c>
      <c r="B813" s="7">
        <v>4276</v>
      </c>
      <c r="C813" s="7" t="str">
        <f t="shared" si="37"/>
        <v>070459000</v>
      </c>
      <c r="D813" s="7" t="s">
        <v>1018</v>
      </c>
      <c r="E813" s="7">
        <v>88421</v>
      </c>
      <c r="F813" s="7" t="str">
        <f>"070459105"</f>
        <v>070459105</v>
      </c>
      <c r="H813" s="7">
        <v>966</v>
      </c>
      <c r="I813" s="11">
        <v>0.77</v>
      </c>
    </row>
    <row r="814" spans="1:9">
      <c r="A814" s="7" t="s">
        <v>1010</v>
      </c>
      <c r="B814" s="7">
        <v>4276</v>
      </c>
      <c r="C814" s="7" t="str">
        <f t="shared" si="37"/>
        <v>070459000</v>
      </c>
      <c r="D814" s="7" t="s">
        <v>1019</v>
      </c>
      <c r="E814" s="7">
        <v>5358</v>
      </c>
      <c r="F814" s="7" t="str">
        <f>"070459103"</f>
        <v>070459103</v>
      </c>
      <c r="H814" s="7">
        <v>892</v>
      </c>
      <c r="I814" s="11">
        <v>0.39</v>
      </c>
    </row>
    <row r="815" spans="1:9" ht="28.5">
      <c r="A815" s="7" t="s">
        <v>1020</v>
      </c>
      <c r="B815" s="7">
        <v>79967</v>
      </c>
      <c r="C815" s="7" t="str">
        <f>"078968000"</f>
        <v>078968000</v>
      </c>
      <c r="D815" s="7" t="s">
        <v>1021</v>
      </c>
      <c r="E815" s="7">
        <v>89616</v>
      </c>
      <c r="F815" s="7" t="str">
        <f>"078968103"</f>
        <v>078968103</v>
      </c>
      <c r="H815" s="7">
        <v>276</v>
      </c>
      <c r="I815" s="11">
        <v>0.63</v>
      </c>
    </row>
    <row r="816" spans="1:9" ht="28.5">
      <c r="A816" s="7" t="s">
        <v>1020</v>
      </c>
      <c r="B816" s="7">
        <v>79967</v>
      </c>
      <c r="C816" s="7" t="str">
        <f>"078968000"</f>
        <v>078968000</v>
      </c>
      <c r="D816" s="7" t="s">
        <v>1022</v>
      </c>
      <c r="E816" s="7">
        <v>87416</v>
      </c>
      <c r="F816" s="7" t="str">
        <f>"078968201"</f>
        <v>078968201</v>
      </c>
      <c r="H816" s="7">
        <v>203</v>
      </c>
      <c r="I816" s="11">
        <v>0.38</v>
      </c>
    </row>
    <row r="817" spans="1:9" ht="28.5">
      <c r="A817" s="7" t="s">
        <v>1020</v>
      </c>
      <c r="B817" s="7">
        <v>79967</v>
      </c>
      <c r="C817" s="7" t="str">
        <f>"078968000"</f>
        <v>078968000</v>
      </c>
      <c r="D817" s="7" t="s">
        <v>1023</v>
      </c>
      <c r="E817" s="7">
        <v>79968</v>
      </c>
      <c r="F817" s="7" t="str">
        <f>"078968101"</f>
        <v>078968101</v>
      </c>
      <c r="H817" s="7">
        <v>320</v>
      </c>
      <c r="I817" s="11">
        <v>0.4</v>
      </c>
    </row>
    <row r="818" spans="1:9">
      <c r="A818" s="7" t="s">
        <v>1024</v>
      </c>
      <c r="B818" s="7">
        <v>90637</v>
      </c>
      <c r="C818" s="7" t="str">
        <f>"118708000"</f>
        <v>118708000</v>
      </c>
      <c r="D818" s="7" t="s">
        <v>1024</v>
      </c>
      <c r="E818" s="7">
        <v>90638</v>
      </c>
      <c r="F818" s="7" t="str">
        <f>"118708001"</f>
        <v>118708001</v>
      </c>
      <c r="H818" s="7">
        <v>849</v>
      </c>
      <c r="I818" s="11">
        <v>0.53</v>
      </c>
    </row>
    <row r="819" spans="1:9" ht="28.5">
      <c r="A819" s="7" t="s">
        <v>1025</v>
      </c>
      <c r="B819" s="7">
        <v>91174</v>
      </c>
      <c r="C819" s="7" t="str">
        <f>"078101000"</f>
        <v>078101000</v>
      </c>
      <c r="D819" s="7" t="s">
        <v>1026</v>
      </c>
      <c r="E819" s="7">
        <v>91175</v>
      </c>
      <c r="F819" s="7" t="str">
        <f>"078101001"</f>
        <v>078101001</v>
      </c>
      <c r="H819" s="7">
        <v>324</v>
      </c>
      <c r="I819" s="11">
        <v>0.4</v>
      </c>
    </row>
    <row r="820" spans="1:9">
      <c r="A820" s="7" t="s">
        <v>1027</v>
      </c>
      <c r="B820" s="7">
        <v>87349</v>
      </c>
      <c r="C820" s="7" t="str">
        <f>"078507000"</f>
        <v>078507000</v>
      </c>
      <c r="D820" s="7" t="s">
        <v>1028</v>
      </c>
      <c r="E820" s="7">
        <v>87350</v>
      </c>
      <c r="F820" s="7" t="str">
        <f>"078507201"</f>
        <v>078507201</v>
      </c>
      <c r="H820" s="7">
        <v>174</v>
      </c>
      <c r="I820" s="11">
        <v>0.95</v>
      </c>
    </row>
    <row r="821" spans="1:9" ht="28.5">
      <c r="A821" s="7" t="s">
        <v>1029</v>
      </c>
      <c r="B821" s="7">
        <v>850101</v>
      </c>
      <c r="C821" s="7" t="str">
        <f t="shared" ref="C821:C841" si="38">"078409000"</f>
        <v>078409000</v>
      </c>
      <c r="D821" s="7" t="s">
        <v>1030</v>
      </c>
      <c r="E821" s="7">
        <v>91136</v>
      </c>
      <c r="F821" s="7" t="str">
        <f>"078416001"</f>
        <v>078416001</v>
      </c>
      <c r="H821" s="7">
        <v>1336</v>
      </c>
      <c r="I821" s="11">
        <v>0.55000000000000004</v>
      </c>
    </row>
    <row r="822" spans="1:9" ht="28.5">
      <c r="A822" s="7" t="s">
        <v>1029</v>
      </c>
      <c r="B822" s="7">
        <v>850101</v>
      </c>
      <c r="C822" s="7" t="str">
        <f t="shared" si="38"/>
        <v>078409000</v>
      </c>
      <c r="D822" s="7" t="s">
        <v>1031</v>
      </c>
      <c r="E822" s="7">
        <v>90366</v>
      </c>
      <c r="F822" s="7" t="str">
        <f>"118718001"</f>
        <v>118718001</v>
      </c>
      <c r="H822" s="7">
        <v>1564</v>
      </c>
      <c r="I822" s="11">
        <v>0.53</v>
      </c>
    </row>
    <row r="823" spans="1:9" ht="28.5">
      <c r="A823" s="7" t="s">
        <v>1029</v>
      </c>
      <c r="B823" s="7">
        <v>850101</v>
      </c>
      <c r="C823" s="7" t="str">
        <f t="shared" si="38"/>
        <v>078409000</v>
      </c>
      <c r="D823" s="7" t="s">
        <v>1032</v>
      </c>
      <c r="E823" s="7">
        <v>91134</v>
      </c>
      <c r="F823" s="7" t="str">
        <f>"078417001"</f>
        <v>078417001</v>
      </c>
      <c r="H823" s="7">
        <v>1171</v>
      </c>
      <c r="I823" s="11">
        <v>0.21</v>
      </c>
    </row>
    <row r="824" spans="1:9" ht="28.5">
      <c r="A824" s="7" t="s">
        <v>1029</v>
      </c>
      <c r="B824" s="7">
        <v>850101</v>
      </c>
      <c r="C824" s="7" t="str">
        <f t="shared" si="38"/>
        <v>078409000</v>
      </c>
      <c r="D824" s="7" t="s">
        <v>1033</v>
      </c>
      <c r="E824" s="7">
        <v>1001424</v>
      </c>
      <c r="F824" s="7" t="str">
        <f>"078642001"</f>
        <v>078642001</v>
      </c>
      <c r="H824" s="7">
        <v>517</v>
      </c>
      <c r="I824" s="11">
        <v>0.56000000000000005</v>
      </c>
    </row>
    <row r="825" spans="1:9" ht="28.5">
      <c r="A825" s="7" t="s">
        <v>1029</v>
      </c>
      <c r="B825" s="7">
        <v>850101</v>
      </c>
      <c r="C825" s="7" t="str">
        <f t="shared" si="38"/>
        <v>078409000</v>
      </c>
      <c r="D825" s="7" t="s">
        <v>1034</v>
      </c>
      <c r="E825" s="7">
        <v>541763</v>
      </c>
      <c r="F825" s="7" t="str">
        <f>"078413001"</f>
        <v>078413001</v>
      </c>
      <c r="H825" s="7">
        <v>1059</v>
      </c>
      <c r="I825" s="11">
        <v>0.42</v>
      </c>
    </row>
    <row r="826" spans="1:9" ht="28.5">
      <c r="A826" s="7" t="s">
        <v>1029</v>
      </c>
      <c r="B826" s="7">
        <v>850101</v>
      </c>
      <c r="C826" s="7" t="str">
        <f t="shared" si="38"/>
        <v>078409000</v>
      </c>
      <c r="D826" s="7" t="s">
        <v>1035</v>
      </c>
      <c r="E826" s="7">
        <v>1001425</v>
      </c>
      <c r="F826" s="7" t="str">
        <f>"108603001"</f>
        <v>108603001</v>
      </c>
      <c r="H826" s="7">
        <v>436</v>
      </c>
      <c r="I826" s="11">
        <v>0.69</v>
      </c>
    </row>
    <row r="827" spans="1:9">
      <c r="A827" s="7" t="s">
        <v>1029</v>
      </c>
      <c r="B827" s="7">
        <v>850101</v>
      </c>
      <c r="C827" s="7" t="str">
        <f t="shared" si="38"/>
        <v>078409000</v>
      </c>
      <c r="D827" s="7" t="s">
        <v>1036</v>
      </c>
      <c r="E827" s="7">
        <v>92048</v>
      </c>
      <c r="F827" s="7" t="str">
        <f>"078229001"</f>
        <v>078229001</v>
      </c>
      <c r="H827" s="7">
        <v>1042</v>
      </c>
      <c r="I827" s="11">
        <v>0.25</v>
      </c>
    </row>
    <row r="828" spans="1:9" ht="28.5">
      <c r="A828" s="7" t="s">
        <v>1029</v>
      </c>
      <c r="B828" s="7">
        <v>850101</v>
      </c>
      <c r="C828" s="7" t="str">
        <f t="shared" si="38"/>
        <v>078409000</v>
      </c>
      <c r="D828" s="7" t="s">
        <v>1037</v>
      </c>
      <c r="E828" s="7">
        <v>229646</v>
      </c>
      <c r="F828" s="7" t="str">
        <f>"078408001"</f>
        <v>078408001</v>
      </c>
      <c r="H828" s="7">
        <v>1324</v>
      </c>
      <c r="I828" s="11">
        <v>0.45</v>
      </c>
    </row>
    <row r="829" spans="1:9" ht="28.5">
      <c r="A829" s="7" t="s">
        <v>1029</v>
      </c>
      <c r="B829" s="7">
        <v>850101</v>
      </c>
      <c r="C829" s="7" t="str">
        <f t="shared" si="38"/>
        <v>078409000</v>
      </c>
      <c r="D829" s="7" t="s">
        <v>1038</v>
      </c>
      <c r="E829" s="7">
        <v>1000289</v>
      </c>
      <c r="F829" s="7" t="str">
        <f>"078635101"</f>
        <v>078635101</v>
      </c>
      <c r="H829" s="7">
        <v>610</v>
      </c>
      <c r="I829" s="11">
        <v>0.53</v>
      </c>
    </row>
    <row r="830" spans="1:9" ht="28.5">
      <c r="A830" s="7" t="s">
        <v>1029</v>
      </c>
      <c r="B830" s="7">
        <v>850101</v>
      </c>
      <c r="C830" s="7" t="str">
        <f t="shared" si="38"/>
        <v>078409000</v>
      </c>
      <c r="D830" s="7" t="s">
        <v>1039</v>
      </c>
      <c r="E830" s="7">
        <v>91764</v>
      </c>
      <c r="F830" s="7" t="str">
        <f>"078215001"</f>
        <v>078215001</v>
      </c>
      <c r="H830" s="7">
        <v>1047</v>
      </c>
      <c r="I830" s="11">
        <v>0.62</v>
      </c>
    </row>
    <row r="831" spans="1:9" ht="28.5">
      <c r="A831" s="7" t="s">
        <v>1029</v>
      </c>
      <c r="B831" s="7">
        <v>850101</v>
      </c>
      <c r="C831" s="7" t="str">
        <f t="shared" si="38"/>
        <v>078409000</v>
      </c>
      <c r="D831" s="7" t="s">
        <v>1040</v>
      </c>
      <c r="E831" s="7">
        <v>88361</v>
      </c>
      <c r="F831" s="7" t="str">
        <f>"118719101"</f>
        <v>118719101</v>
      </c>
      <c r="H831" s="7">
        <v>1326</v>
      </c>
      <c r="I831" s="11">
        <v>0.43</v>
      </c>
    </row>
    <row r="832" spans="1:9">
      <c r="A832" s="7" t="s">
        <v>1029</v>
      </c>
      <c r="B832" s="7">
        <v>850101</v>
      </c>
      <c r="C832" s="7" t="str">
        <f t="shared" si="38"/>
        <v>078409000</v>
      </c>
      <c r="D832" s="7" t="s">
        <v>1041</v>
      </c>
      <c r="E832" s="7">
        <v>1001423</v>
      </c>
      <c r="F832" s="7" t="str">
        <f>"078641001"</f>
        <v>078641001</v>
      </c>
      <c r="H832" s="7">
        <v>539</v>
      </c>
      <c r="I832" s="11">
        <v>0.47</v>
      </c>
    </row>
    <row r="833" spans="1:9" ht="28.5">
      <c r="A833" s="7" t="s">
        <v>1029</v>
      </c>
      <c r="B833" s="7">
        <v>850101</v>
      </c>
      <c r="C833" s="7" t="str">
        <f t="shared" si="38"/>
        <v>078409000</v>
      </c>
      <c r="D833" s="7" t="s">
        <v>1029</v>
      </c>
      <c r="E833" s="7">
        <v>411380</v>
      </c>
      <c r="F833" s="7" t="str">
        <f>"078409001"</f>
        <v>078409001</v>
      </c>
      <c r="H833" s="7">
        <v>940</v>
      </c>
      <c r="I833" s="11">
        <v>0.46</v>
      </c>
    </row>
    <row r="834" spans="1:9" ht="28.5">
      <c r="A834" s="7" t="s">
        <v>1029</v>
      </c>
      <c r="B834" s="7">
        <v>850101</v>
      </c>
      <c r="C834" s="7" t="str">
        <f t="shared" si="38"/>
        <v>078409000</v>
      </c>
      <c r="D834" s="7" t="s">
        <v>1042</v>
      </c>
      <c r="E834" s="7">
        <v>1000569</v>
      </c>
      <c r="F834" s="7" t="str">
        <f>"078637001"</f>
        <v>078637001</v>
      </c>
      <c r="H834" s="7">
        <v>537</v>
      </c>
      <c r="I834" s="11">
        <v>0.65</v>
      </c>
    </row>
    <row r="835" spans="1:9" ht="28.5">
      <c r="A835" s="7" t="s">
        <v>1029</v>
      </c>
      <c r="B835" s="7">
        <v>850101</v>
      </c>
      <c r="C835" s="7" t="str">
        <f t="shared" si="38"/>
        <v>078409000</v>
      </c>
      <c r="D835" s="7" t="s">
        <v>1043</v>
      </c>
      <c r="E835" s="7">
        <v>91138</v>
      </c>
      <c r="F835" s="7" t="str">
        <f>"108414001"</f>
        <v>108414001</v>
      </c>
      <c r="H835" s="7">
        <v>1295</v>
      </c>
      <c r="I835" s="11">
        <v>0.36</v>
      </c>
    </row>
    <row r="836" spans="1:9">
      <c r="A836" s="7" t="s">
        <v>1029</v>
      </c>
      <c r="B836" s="7">
        <v>850101</v>
      </c>
      <c r="C836" s="7" t="str">
        <f t="shared" si="38"/>
        <v>078409000</v>
      </c>
      <c r="D836" s="7" t="s">
        <v>1044</v>
      </c>
      <c r="E836" s="7">
        <v>70018</v>
      </c>
      <c r="F836" s="7" t="str">
        <f>"078407001"</f>
        <v>078407001</v>
      </c>
      <c r="H836" s="7">
        <v>665</v>
      </c>
      <c r="I836" s="11">
        <v>0.26</v>
      </c>
    </row>
    <row r="837" spans="1:9">
      <c r="A837" s="7" t="s">
        <v>1029</v>
      </c>
      <c r="B837" s="7">
        <v>850101</v>
      </c>
      <c r="C837" s="7" t="str">
        <f t="shared" si="38"/>
        <v>078409000</v>
      </c>
      <c r="D837" s="7" t="s">
        <v>1045</v>
      </c>
      <c r="E837" s="7">
        <v>112572</v>
      </c>
      <c r="F837" s="7" t="str">
        <f>"078415001"</f>
        <v>078415001</v>
      </c>
      <c r="H837" s="7">
        <v>1273</v>
      </c>
      <c r="I837" s="11">
        <v>0.59</v>
      </c>
    </row>
    <row r="838" spans="1:9" ht="28.5">
      <c r="A838" s="7" t="s">
        <v>1029</v>
      </c>
      <c r="B838" s="7">
        <v>850101</v>
      </c>
      <c r="C838" s="7" t="str">
        <f t="shared" si="38"/>
        <v>078409000</v>
      </c>
      <c r="D838" s="7" t="s">
        <v>1046</v>
      </c>
      <c r="E838" s="7">
        <v>90534</v>
      </c>
      <c r="F838" s="7" t="str">
        <f>"118715001"</f>
        <v>118715001</v>
      </c>
      <c r="H838" s="7">
        <v>947</v>
      </c>
      <c r="I838" s="11">
        <v>0.27</v>
      </c>
    </row>
    <row r="839" spans="1:9" ht="28.5">
      <c r="A839" s="7" t="s">
        <v>1029</v>
      </c>
      <c r="B839" s="7">
        <v>850101</v>
      </c>
      <c r="C839" s="7" t="str">
        <f t="shared" si="38"/>
        <v>078409000</v>
      </c>
      <c r="D839" s="7" t="s">
        <v>1047</v>
      </c>
      <c r="E839" s="7">
        <v>92880</v>
      </c>
      <c r="F839" s="7" t="str">
        <f>"078274001"</f>
        <v>078274001</v>
      </c>
      <c r="H839" s="7">
        <v>1872</v>
      </c>
      <c r="I839" s="11">
        <v>0.39</v>
      </c>
    </row>
    <row r="840" spans="1:9" ht="28.5">
      <c r="A840" s="7" t="s">
        <v>1029</v>
      </c>
      <c r="B840" s="7">
        <v>850101</v>
      </c>
      <c r="C840" s="7" t="str">
        <f t="shared" si="38"/>
        <v>078409000</v>
      </c>
      <c r="D840" s="7" t="s">
        <v>1048</v>
      </c>
      <c r="E840" s="7">
        <v>1000561</v>
      </c>
      <c r="F840" s="7" t="str">
        <f>"078636001"</f>
        <v>078636001</v>
      </c>
      <c r="H840" s="7">
        <v>1234</v>
      </c>
      <c r="I840" s="11">
        <v>0.33</v>
      </c>
    </row>
    <row r="841" spans="1:9">
      <c r="A841" s="7" t="s">
        <v>1029</v>
      </c>
      <c r="B841" s="7">
        <v>850101</v>
      </c>
      <c r="C841" s="7" t="str">
        <f t="shared" si="38"/>
        <v>078409000</v>
      </c>
      <c r="D841" s="7" t="s">
        <v>1049</v>
      </c>
      <c r="E841" s="7">
        <v>1001929</v>
      </c>
      <c r="F841" s="7" t="str">
        <f>"078420001"</f>
        <v>078420001</v>
      </c>
      <c r="H841" s="7">
        <v>711</v>
      </c>
      <c r="I841" s="11">
        <v>0.45</v>
      </c>
    </row>
    <row r="842" spans="1:9" ht="28.5">
      <c r="A842" s="7" t="s">
        <v>1050</v>
      </c>
      <c r="B842" s="7">
        <v>9689</v>
      </c>
      <c r="C842" s="7" t="str">
        <f>"093902000"</f>
        <v>093902000</v>
      </c>
      <c r="D842" s="7" t="s">
        <v>1051</v>
      </c>
      <c r="E842" s="7">
        <v>80374</v>
      </c>
      <c r="F842" s="7" t="str">
        <f>"033904010"</f>
        <v>033904010</v>
      </c>
      <c r="G842" s="7" t="s">
        <v>16</v>
      </c>
      <c r="H842" s="7">
        <v>107</v>
      </c>
      <c r="I842" s="11" t="s">
        <v>17</v>
      </c>
    </row>
    <row r="843" spans="1:9">
      <c r="A843" s="7" t="s">
        <v>1052</v>
      </c>
      <c r="B843" s="7">
        <v>4266</v>
      </c>
      <c r="C843" s="7" t="str">
        <f t="shared" ref="C843:C849" si="39">"070425000"</f>
        <v>070425000</v>
      </c>
      <c r="D843" s="7" t="s">
        <v>1053</v>
      </c>
      <c r="E843" s="7">
        <v>1001715</v>
      </c>
      <c r="F843" s="7" t="str">
        <f>"070425107"</f>
        <v>070425107</v>
      </c>
      <c r="H843" s="7">
        <v>945</v>
      </c>
      <c r="I843" s="11">
        <v>0.6</v>
      </c>
    </row>
    <row r="844" spans="1:9" ht="28.5">
      <c r="A844" s="7" t="s">
        <v>1052</v>
      </c>
      <c r="B844" s="7">
        <v>4266</v>
      </c>
      <c r="C844" s="7" t="str">
        <f t="shared" si="39"/>
        <v>070425000</v>
      </c>
      <c r="D844" s="7" t="s">
        <v>1054</v>
      </c>
      <c r="E844" s="7">
        <v>5295</v>
      </c>
      <c r="F844" s="7" t="str">
        <f>"070425102"</f>
        <v>070425102</v>
      </c>
      <c r="H844" s="7">
        <v>505</v>
      </c>
      <c r="I844" s="11">
        <v>0.32</v>
      </c>
    </row>
    <row r="845" spans="1:9">
      <c r="A845" s="7" t="s">
        <v>1052</v>
      </c>
      <c r="B845" s="7">
        <v>4266</v>
      </c>
      <c r="C845" s="7" t="str">
        <f t="shared" si="39"/>
        <v>070425000</v>
      </c>
      <c r="D845" s="7" t="s">
        <v>1055</v>
      </c>
      <c r="E845" s="7">
        <v>87475</v>
      </c>
      <c r="F845" s="7" t="str">
        <f>"070425105"</f>
        <v>070425105</v>
      </c>
      <c r="H845" s="7">
        <v>582</v>
      </c>
      <c r="I845" s="11">
        <v>0.7</v>
      </c>
    </row>
    <row r="846" spans="1:9">
      <c r="A846" s="7" t="s">
        <v>1052</v>
      </c>
      <c r="B846" s="7">
        <v>4266</v>
      </c>
      <c r="C846" s="7" t="str">
        <f t="shared" si="39"/>
        <v>070425000</v>
      </c>
      <c r="D846" s="7" t="s">
        <v>1056</v>
      </c>
      <c r="E846" s="7">
        <v>92706</v>
      </c>
      <c r="F846" s="7" t="str">
        <f>"070425106"</f>
        <v>070425106</v>
      </c>
      <c r="H846" s="7">
        <v>645</v>
      </c>
      <c r="I846" s="11">
        <v>0.52</v>
      </c>
    </row>
    <row r="847" spans="1:9">
      <c r="A847" s="7" t="s">
        <v>1052</v>
      </c>
      <c r="B847" s="7">
        <v>4266</v>
      </c>
      <c r="C847" s="7" t="str">
        <f t="shared" si="39"/>
        <v>070425000</v>
      </c>
      <c r="D847" s="7" t="s">
        <v>1057</v>
      </c>
      <c r="E847" s="7">
        <v>5294</v>
      </c>
      <c r="F847" s="7" t="str">
        <f>"070425101"</f>
        <v>070425101</v>
      </c>
      <c r="H847" s="7">
        <v>420</v>
      </c>
      <c r="I847" s="11">
        <v>0.56000000000000005</v>
      </c>
    </row>
    <row r="848" spans="1:9">
      <c r="A848" s="7" t="s">
        <v>1052</v>
      </c>
      <c r="B848" s="7">
        <v>4266</v>
      </c>
      <c r="C848" s="7" t="str">
        <f t="shared" si="39"/>
        <v>070425000</v>
      </c>
      <c r="D848" s="7" t="s">
        <v>1058</v>
      </c>
      <c r="E848" s="7">
        <v>79652</v>
      </c>
      <c r="F848" s="7" t="str">
        <f>"070425103"</f>
        <v>070425103</v>
      </c>
      <c r="H848" s="7">
        <v>593</v>
      </c>
      <c r="I848" s="11">
        <v>0.72</v>
      </c>
    </row>
    <row r="849" spans="1:9">
      <c r="A849" s="7" t="s">
        <v>1052</v>
      </c>
      <c r="B849" s="7">
        <v>4266</v>
      </c>
      <c r="C849" s="7" t="str">
        <f t="shared" si="39"/>
        <v>070425000</v>
      </c>
      <c r="D849" s="7" t="s">
        <v>1059</v>
      </c>
      <c r="E849" s="7">
        <v>79846</v>
      </c>
      <c r="F849" s="7" t="str">
        <f>"070425104"</f>
        <v>070425104</v>
      </c>
      <c r="H849" s="7">
        <v>801</v>
      </c>
      <c r="I849" s="11">
        <v>0.28000000000000003</v>
      </c>
    </row>
    <row r="850" spans="1:9" ht="28.5">
      <c r="A850" s="7" t="s">
        <v>1060</v>
      </c>
      <c r="B850" s="7">
        <v>4281</v>
      </c>
      <c r="C850" s="7" t="str">
        <f t="shared" ref="C850:C865" si="40">"070479000"</f>
        <v>070479000</v>
      </c>
      <c r="D850" s="7" t="s">
        <v>1061</v>
      </c>
      <c r="E850" s="7">
        <v>87522</v>
      </c>
      <c r="F850" s="7" t="str">
        <f>"070479111"</f>
        <v>070479111</v>
      </c>
      <c r="H850" s="7">
        <v>573</v>
      </c>
      <c r="I850" s="11">
        <v>0.6</v>
      </c>
    </row>
    <row r="851" spans="1:9">
      <c r="A851" s="7" t="s">
        <v>1060</v>
      </c>
      <c r="B851" s="7">
        <v>4281</v>
      </c>
      <c r="C851" s="7" t="str">
        <f t="shared" si="40"/>
        <v>070479000</v>
      </c>
      <c r="D851" s="7" t="s">
        <v>1062</v>
      </c>
      <c r="E851" s="7">
        <v>1000251</v>
      </c>
      <c r="F851" s="7" t="str">
        <f>"070479116"</f>
        <v>070479116</v>
      </c>
      <c r="H851" s="7">
        <v>1053</v>
      </c>
      <c r="I851" s="11">
        <v>0.24</v>
      </c>
    </row>
    <row r="852" spans="1:9">
      <c r="A852" s="7" t="s">
        <v>1060</v>
      </c>
      <c r="B852" s="7">
        <v>4281</v>
      </c>
      <c r="C852" s="7" t="str">
        <f t="shared" si="40"/>
        <v>070479000</v>
      </c>
      <c r="D852" s="7" t="s">
        <v>1063</v>
      </c>
      <c r="E852" s="7">
        <v>80054</v>
      </c>
      <c r="F852" s="7" t="str">
        <f>"070479108"</f>
        <v>070479108</v>
      </c>
      <c r="H852" s="7">
        <v>557</v>
      </c>
      <c r="I852" s="11">
        <v>0.56999999999999995</v>
      </c>
    </row>
    <row r="853" spans="1:9">
      <c r="A853" s="7" t="s">
        <v>1060</v>
      </c>
      <c r="B853" s="7">
        <v>4281</v>
      </c>
      <c r="C853" s="7" t="str">
        <f t="shared" si="40"/>
        <v>070479000</v>
      </c>
      <c r="D853" s="7" t="s">
        <v>1064</v>
      </c>
      <c r="E853" s="7">
        <v>85843</v>
      </c>
      <c r="F853" s="7" t="str">
        <f>"070479109"</f>
        <v>070479109</v>
      </c>
      <c r="H853" s="7">
        <v>686</v>
      </c>
      <c r="I853" s="11">
        <v>0.56000000000000005</v>
      </c>
    </row>
    <row r="854" spans="1:9">
      <c r="A854" s="7" t="s">
        <v>1060</v>
      </c>
      <c r="B854" s="7">
        <v>4281</v>
      </c>
      <c r="C854" s="7" t="str">
        <f t="shared" si="40"/>
        <v>070479000</v>
      </c>
      <c r="D854" s="7" t="s">
        <v>1065</v>
      </c>
      <c r="E854" s="7">
        <v>90385</v>
      </c>
      <c r="F854" s="7" t="str">
        <f>"070479112"</f>
        <v>070479112</v>
      </c>
      <c r="H854" s="7">
        <v>555</v>
      </c>
      <c r="I854" s="11">
        <v>0.56000000000000005</v>
      </c>
    </row>
    <row r="855" spans="1:9">
      <c r="A855" s="7" t="s">
        <v>1060</v>
      </c>
      <c r="B855" s="7">
        <v>4281</v>
      </c>
      <c r="C855" s="7" t="str">
        <f t="shared" si="40"/>
        <v>070479000</v>
      </c>
      <c r="D855" s="7" t="s">
        <v>1066</v>
      </c>
      <c r="E855" s="7">
        <v>5393</v>
      </c>
      <c r="F855" s="7" t="str">
        <f>"070479101"</f>
        <v>070479101</v>
      </c>
      <c r="H855" s="7">
        <v>680</v>
      </c>
      <c r="I855" s="11">
        <v>0.3</v>
      </c>
    </row>
    <row r="856" spans="1:9">
      <c r="A856" s="7" t="s">
        <v>1060</v>
      </c>
      <c r="B856" s="7">
        <v>4281</v>
      </c>
      <c r="C856" s="7" t="str">
        <f t="shared" si="40"/>
        <v>070479000</v>
      </c>
      <c r="D856" s="7" t="s">
        <v>1067</v>
      </c>
      <c r="E856" s="7">
        <v>90550</v>
      </c>
      <c r="F856" s="7" t="str">
        <f>"070479114"</f>
        <v>070479114</v>
      </c>
      <c r="H856" s="7">
        <v>586</v>
      </c>
      <c r="I856" s="11">
        <v>0.32</v>
      </c>
    </row>
    <row r="857" spans="1:9">
      <c r="A857" s="7" t="s">
        <v>1060</v>
      </c>
      <c r="B857" s="7">
        <v>4281</v>
      </c>
      <c r="C857" s="7" t="str">
        <f t="shared" si="40"/>
        <v>070479000</v>
      </c>
      <c r="D857" s="7" t="s">
        <v>1068</v>
      </c>
      <c r="E857" s="7">
        <v>5396</v>
      </c>
      <c r="F857" s="7" t="str">
        <f>"070479104"</f>
        <v>070479104</v>
      </c>
      <c r="H857" s="7">
        <v>663</v>
      </c>
      <c r="I857" s="11">
        <v>0.39</v>
      </c>
    </row>
    <row r="858" spans="1:9" ht="28.5">
      <c r="A858" s="7" t="s">
        <v>1060</v>
      </c>
      <c r="B858" s="7">
        <v>4281</v>
      </c>
      <c r="C858" s="7" t="str">
        <f t="shared" si="40"/>
        <v>070479000</v>
      </c>
      <c r="D858" s="7" t="s">
        <v>1069</v>
      </c>
      <c r="E858" s="7">
        <v>78925</v>
      </c>
      <c r="F858" s="7" t="str">
        <f>"070479105"</f>
        <v>070479105</v>
      </c>
      <c r="H858" s="7">
        <v>597</v>
      </c>
      <c r="I858" s="11">
        <v>0.62</v>
      </c>
    </row>
    <row r="859" spans="1:9">
      <c r="A859" s="7" t="s">
        <v>1060</v>
      </c>
      <c r="B859" s="7">
        <v>4281</v>
      </c>
      <c r="C859" s="7" t="str">
        <f t="shared" si="40"/>
        <v>070479000</v>
      </c>
      <c r="D859" s="7" t="s">
        <v>1070</v>
      </c>
      <c r="E859" s="7">
        <v>5394</v>
      </c>
      <c r="F859" s="7" t="str">
        <f>"070479102"</f>
        <v>070479102</v>
      </c>
      <c r="H859" s="7">
        <v>572</v>
      </c>
      <c r="I859" s="11">
        <v>0.47</v>
      </c>
    </row>
    <row r="860" spans="1:9">
      <c r="A860" s="7" t="s">
        <v>1060</v>
      </c>
      <c r="B860" s="7">
        <v>4281</v>
      </c>
      <c r="C860" s="7" t="str">
        <f t="shared" si="40"/>
        <v>070479000</v>
      </c>
      <c r="D860" s="7" t="s">
        <v>1071</v>
      </c>
      <c r="E860" s="7">
        <v>89586</v>
      </c>
      <c r="F860" s="7" t="str">
        <f>"070479113"</f>
        <v>070479113</v>
      </c>
      <c r="H860" s="7">
        <v>931</v>
      </c>
      <c r="I860" s="11">
        <v>0.27</v>
      </c>
    </row>
    <row r="861" spans="1:9" ht="28.5">
      <c r="A861" s="7" t="s">
        <v>1060</v>
      </c>
      <c r="B861" s="7">
        <v>4281</v>
      </c>
      <c r="C861" s="7" t="str">
        <f t="shared" si="40"/>
        <v>070479000</v>
      </c>
      <c r="D861" s="7" t="s">
        <v>1072</v>
      </c>
      <c r="E861" s="7">
        <v>92878</v>
      </c>
      <c r="F861" s="7" t="str">
        <f>"070479115"</f>
        <v>070479115</v>
      </c>
      <c r="H861" s="7">
        <v>1004</v>
      </c>
      <c r="I861" s="11">
        <v>0.28999999999999998</v>
      </c>
    </row>
    <row r="862" spans="1:9">
      <c r="A862" s="7" t="s">
        <v>1060</v>
      </c>
      <c r="B862" s="7">
        <v>4281</v>
      </c>
      <c r="C862" s="7" t="str">
        <f t="shared" si="40"/>
        <v>070479000</v>
      </c>
      <c r="D862" s="7" t="s">
        <v>1073</v>
      </c>
      <c r="E862" s="7">
        <v>85844</v>
      </c>
      <c r="F862" s="7" t="str">
        <f>"070479110"</f>
        <v>070479110</v>
      </c>
      <c r="H862" s="7">
        <v>732</v>
      </c>
      <c r="I862" s="11">
        <v>0.34</v>
      </c>
    </row>
    <row r="863" spans="1:9">
      <c r="A863" s="7" t="s">
        <v>1060</v>
      </c>
      <c r="B863" s="7">
        <v>4281</v>
      </c>
      <c r="C863" s="7" t="str">
        <f t="shared" si="40"/>
        <v>070479000</v>
      </c>
      <c r="D863" s="7" t="s">
        <v>1074</v>
      </c>
      <c r="E863" s="7">
        <v>5395</v>
      </c>
      <c r="F863" s="7" t="str">
        <f>"070479103"</f>
        <v>070479103</v>
      </c>
      <c r="H863" s="7">
        <v>945</v>
      </c>
      <c r="I863" s="11">
        <v>0.3</v>
      </c>
    </row>
    <row r="864" spans="1:9">
      <c r="A864" s="7" t="s">
        <v>1060</v>
      </c>
      <c r="B864" s="7">
        <v>4281</v>
      </c>
      <c r="C864" s="7" t="str">
        <f t="shared" si="40"/>
        <v>070479000</v>
      </c>
      <c r="D864" s="7" t="s">
        <v>1075</v>
      </c>
      <c r="E864" s="7">
        <v>79220</v>
      </c>
      <c r="F864" s="7" t="str">
        <f>"070479106"</f>
        <v>070479106</v>
      </c>
      <c r="H864" s="7">
        <v>20</v>
      </c>
      <c r="I864" s="11">
        <v>0.55000000000000004</v>
      </c>
    </row>
    <row r="865" spans="1:9">
      <c r="A865" s="7" t="s">
        <v>1060</v>
      </c>
      <c r="B865" s="7">
        <v>4281</v>
      </c>
      <c r="C865" s="7" t="str">
        <f t="shared" si="40"/>
        <v>070479000</v>
      </c>
      <c r="D865" s="7" t="s">
        <v>1076</v>
      </c>
      <c r="E865" s="7">
        <v>79221</v>
      </c>
      <c r="F865" s="7" t="str">
        <f>"070479107"</f>
        <v>070479107</v>
      </c>
      <c r="H865" s="7">
        <v>727</v>
      </c>
      <c r="I865" s="11">
        <v>0.56000000000000005</v>
      </c>
    </row>
    <row r="866" spans="1:9" ht="28.5">
      <c r="A866" s="7" t="s">
        <v>1077</v>
      </c>
      <c r="B866" s="7">
        <v>92648</v>
      </c>
      <c r="C866" s="7" t="str">
        <f>"099110000"</f>
        <v>099110000</v>
      </c>
      <c r="D866" s="7" t="s">
        <v>1078</v>
      </c>
      <c r="E866" s="7">
        <v>88064</v>
      </c>
      <c r="F866" s="7" t="str">
        <f>"033904001"</f>
        <v>033904001</v>
      </c>
      <c r="G866" s="7" t="s">
        <v>16</v>
      </c>
      <c r="H866" s="7">
        <v>85</v>
      </c>
      <c r="I866" s="11" t="s">
        <v>17</v>
      </c>
    </row>
    <row r="867" spans="1:9">
      <c r="A867" s="7" t="s">
        <v>1079</v>
      </c>
      <c r="B867" s="7">
        <v>4374</v>
      </c>
      <c r="C867" s="7" t="str">
        <f>"080209000"</f>
        <v>080209000</v>
      </c>
      <c r="D867" s="7" t="s">
        <v>1080</v>
      </c>
      <c r="E867" s="7">
        <v>5579</v>
      </c>
      <c r="F867" s="7" t="str">
        <f>"080209001"</f>
        <v>080209001</v>
      </c>
      <c r="H867" s="7">
        <v>256</v>
      </c>
      <c r="I867" s="11">
        <v>0.74</v>
      </c>
    </row>
    <row r="868" spans="1:9">
      <c r="A868" s="7" t="s">
        <v>1079</v>
      </c>
      <c r="B868" s="7">
        <v>4374</v>
      </c>
      <c r="C868" s="7" t="str">
        <f>"080209000"</f>
        <v>080209000</v>
      </c>
      <c r="D868" s="7" t="s">
        <v>1081</v>
      </c>
      <c r="E868" s="7">
        <v>85821</v>
      </c>
      <c r="F868" s="7" t="str">
        <f>"080209201"</f>
        <v>080209201</v>
      </c>
      <c r="H868" s="7">
        <v>158</v>
      </c>
      <c r="I868" s="11">
        <v>0.65</v>
      </c>
    </row>
    <row r="869" spans="1:9">
      <c r="A869" s="7" t="s">
        <v>1082</v>
      </c>
      <c r="B869" s="7">
        <v>4278</v>
      </c>
      <c r="C869" s="7" t="str">
        <f t="shared" ref="C869:C878" si="41">"070465000"</f>
        <v>070465000</v>
      </c>
      <c r="D869" s="7" t="s">
        <v>1083</v>
      </c>
      <c r="E869" s="7">
        <v>79618</v>
      </c>
      <c r="F869" s="7" t="str">
        <f>"070465104"</f>
        <v>070465104</v>
      </c>
      <c r="H869" s="7">
        <v>914</v>
      </c>
      <c r="I869" s="11">
        <v>0.69</v>
      </c>
    </row>
    <row r="870" spans="1:9">
      <c r="A870" s="7" t="s">
        <v>1082</v>
      </c>
      <c r="B870" s="7">
        <v>4278</v>
      </c>
      <c r="C870" s="7" t="str">
        <f t="shared" si="41"/>
        <v>070465000</v>
      </c>
      <c r="D870" s="7" t="s">
        <v>1084</v>
      </c>
      <c r="E870" s="7">
        <v>87476</v>
      </c>
      <c r="F870" s="7" t="str">
        <f>"070465106"</f>
        <v>070465106</v>
      </c>
      <c r="H870" s="7">
        <v>948</v>
      </c>
      <c r="I870" s="11">
        <v>0.78</v>
      </c>
    </row>
    <row r="871" spans="1:9">
      <c r="A871" s="7" t="s">
        <v>1082</v>
      </c>
      <c r="B871" s="7">
        <v>4278</v>
      </c>
      <c r="C871" s="7" t="str">
        <f t="shared" si="41"/>
        <v>070465000</v>
      </c>
      <c r="D871" s="7" t="s">
        <v>1085</v>
      </c>
      <c r="E871" s="7">
        <v>89608</v>
      </c>
      <c r="F871" s="7" t="str">
        <f>"070465107"</f>
        <v>070465107</v>
      </c>
      <c r="H871" s="7">
        <v>959</v>
      </c>
      <c r="I871" s="11">
        <v>0.71</v>
      </c>
    </row>
    <row r="872" spans="1:9">
      <c r="A872" s="7" t="s">
        <v>1082</v>
      </c>
      <c r="B872" s="7">
        <v>4278</v>
      </c>
      <c r="C872" s="7" t="str">
        <f t="shared" si="41"/>
        <v>070465000</v>
      </c>
      <c r="D872" s="7" t="s">
        <v>1086</v>
      </c>
      <c r="E872" s="7">
        <v>530879</v>
      </c>
      <c r="F872" s="7" t="str">
        <f>"070465109"</f>
        <v>070465109</v>
      </c>
      <c r="H872" s="7">
        <v>896</v>
      </c>
      <c r="I872" s="11">
        <v>0.69</v>
      </c>
    </row>
    <row r="873" spans="1:9">
      <c r="A873" s="7" t="s">
        <v>1082</v>
      </c>
      <c r="B873" s="7">
        <v>4278</v>
      </c>
      <c r="C873" s="7" t="str">
        <f t="shared" si="41"/>
        <v>070465000</v>
      </c>
      <c r="D873" s="7" t="s">
        <v>1087</v>
      </c>
      <c r="E873" s="7">
        <v>1002030</v>
      </c>
      <c r="F873" s="7" t="str">
        <f>"070465111"</f>
        <v>070465111</v>
      </c>
      <c r="H873" s="7">
        <v>220</v>
      </c>
      <c r="I873" s="11">
        <v>0.65</v>
      </c>
    </row>
    <row r="874" spans="1:9">
      <c r="A874" s="7" t="s">
        <v>1082</v>
      </c>
      <c r="B874" s="7">
        <v>4278</v>
      </c>
      <c r="C874" s="7" t="str">
        <f t="shared" si="41"/>
        <v>070465000</v>
      </c>
      <c r="D874" s="7" t="s">
        <v>1088</v>
      </c>
      <c r="E874" s="7">
        <v>5360</v>
      </c>
      <c r="F874" s="7" t="str">
        <f>"070465101"</f>
        <v>070465101</v>
      </c>
      <c r="H874" s="7">
        <v>955</v>
      </c>
      <c r="I874" s="11">
        <v>0.65</v>
      </c>
    </row>
    <row r="875" spans="1:9">
      <c r="A875" s="7" t="s">
        <v>1082</v>
      </c>
      <c r="B875" s="7">
        <v>4278</v>
      </c>
      <c r="C875" s="7" t="str">
        <f t="shared" si="41"/>
        <v>070465000</v>
      </c>
      <c r="D875" s="7" t="s">
        <v>1089</v>
      </c>
      <c r="E875" s="7">
        <v>85852</v>
      </c>
      <c r="F875" s="7" t="str">
        <f>"070465105"</f>
        <v>070465105</v>
      </c>
      <c r="H875" s="7">
        <v>977</v>
      </c>
      <c r="I875" s="11">
        <v>0.71</v>
      </c>
    </row>
    <row r="876" spans="1:9">
      <c r="A876" s="7" t="s">
        <v>1082</v>
      </c>
      <c r="B876" s="7">
        <v>4278</v>
      </c>
      <c r="C876" s="7" t="str">
        <f t="shared" si="41"/>
        <v>070465000</v>
      </c>
      <c r="D876" s="7" t="s">
        <v>1090</v>
      </c>
      <c r="E876" s="7">
        <v>7408</v>
      </c>
      <c r="F876" s="7" t="str">
        <f>"072190001"</f>
        <v>072190001</v>
      </c>
      <c r="H876" s="7">
        <v>423</v>
      </c>
      <c r="I876" s="11">
        <v>0.53</v>
      </c>
    </row>
    <row r="877" spans="1:9" ht="28.5">
      <c r="A877" s="7" t="s">
        <v>1082</v>
      </c>
      <c r="B877" s="7">
        <v>4278</v>
      </c>
      <c r="C877" s="7" t="str">
        <f t="shared" si="41"/>
        <v>070465000</v>
      </c>
      <c r="D877" s="7" t="s">
        <v>1091</v>
      </c>
      <c r="E877" s="7">
        <v>90771</v>
      </c>
      <c r="F877" s="7" t="str">
        <f>"072190003"</f>
        <v>072190003</v>
      </c>
      <c r="H877" s="7">
        <v>243</v>
      </c>
      <c r="I877" s="11">
        <v>0.72</v>
      </c>
    </row>
    <row r="878" spans="1:9">
      <c r="A878" s="7" t="s">
        <v>1082</v>
      </c>
      <c r="B878" s="7">
        <v>4278</v>
      </c>
      <c r="C878" s="7" t="str">
        <f t="shared" si="41"/>
        <v>070465000</v>
      </c>
      <c r="D878" s="7" t="s">
        <v>1092</v>
      </c>
      <c r="E878" s="7">
        <v>89924</v>
      </c>
      <c r="F878" s="7" t="str">
        <f>"070465108"</f>
        <v>070465108</v>
      </c>
      <c r="H878" s="7">
        <v>648</v>
      </c>
      <c r="I878" s="11">
        <v>0.75</v>
      </c>
    </row>
    <row r="879" spans="1:9">
      <c r="A879" s="7" t="s">
        <v>1093</v>
      </c>
      <c r="B879" s="7">
        <v>268612</v>
      </c>
      <c r="C879" s="7" t="str">
        <f>"149103000"</f>
        <v>149103000</v>
      </c>
      <c r="D879" s="7" t="s">
        <v>1093</v>
      </c>
      <c r="E879" s="7">
        <v>89997</v>
      </c>
      <c r="F879" s="7" t="str">
        <f>"142003202"</f>
        <v>142003202</v>
      </c>
      <c r="H879" s="7">
        <v>223</v>
      </c>
      <c r="I879" s="11">
        <v>0.75</v>
      </c>
    </row>
    <row r="880" spans="1:9">
      <c r="A880" s="7" t="s">
        <v>1094</v>
      </c>
      <c r="B880" s="7">
        <v>10126</v>
      </c>
      <c r="C880" s="7" t="str">
        <f>"122001000"</f>
        <v>122001000</v>
      </c>
      <c r="D880" s="7" t="s">
        <v>1094</v>
      </c>
      <c r="E880" s="7">
        <v>80261</v>
      </c>
      <c r="F880" s="7" t="str">
        <f>"122001001"</f>
        <v>122001001</v>
      </c>
      <c r="H880" s="7">
        <v>310</v>
      </c>
      <c r="I880" s="11">
        <v>0.85</v>
      </c>
    </row>
    <row r="881" spans="1:9">
      <c r="A881" s="7" t="s">
        <v>1095</v>
      </c>
      <c r="B881" s="7">
        <v>4270</v>
      </c>
      <c r="C881" s="7" t="str">
        <f t="shared" ref="C881:C889" si="42">"070438000"</f>
        <v>070438000</v>
      </c>
      <c r="D881" s="7" t="s">
        <v>1096</v>
      </c>
      <c r="E881" s="7">
        <v>5324</v>
      </c>
      <c r="F881" s="7" t="str">
        <f>"070438110"</f>
        <v>070438110</v>
      </c>
      <c r="H881" s="7">
        <v>897</v>
      </c>
      <c r="I881" s="11">
        <v>0.39</v>
      </c>
    </row>
    <row r="882" spans="1:9">
      <c r="A882" s="7" t="s">
        <v>1095</v>
      </c>
      <c r="B882" s="7">
        <v>4270</v>
      </c>
      <c r="C882" s="7" t="str">
        <f t="shared" si="42"/>
        <v>070438000</v>
      </c>
      <c r="D882" s="7" t="s">
        <v>1097</v>
      </c>
      <c r="E882" s="7">
        <v>5325</v>
      </c>
      <c r="F882" s="7" t="str">
        <f>"070438120"</f>
        <v>070438120</v>
      </c>
      <c r="H882" s="7">
        <v>578</v>
      </c>
      <c r="I882" s="11">
        <v>0.63</v>
      </c>
    </row>
    <row r="883" spans="1:9" ht="28.5">
      <c r="A883" s="7" t="s">
        <v>1095</v>
      </c>
      <c r="B883" s="7">
        <v>4270</v>
      </c>
      <c r="C883" s="7" t="str">
        <f t="shared" si="42"/>
        <v>070438000</v>
      </c>
      <c r="D883" s="7" t="s">
        <v>1098</v>
      </c>
      <c r="E883" s="7">
        <v>5330</v>
      </c>
      <c r="F883" s="7" t="str">
        <f>"070438180"</f>
        <v>070438180</v>
      </c>
      <c r="H883" s="7">
        <v>693</v>
      </c>
      <c r="I883" s="11">
        <v>0.22</v>
      </c>
    </row>
    <row r="884" spans="1:9">
      <c r="A884" s="7" t="s">
        <v>1095</v>
      </c>
      <c r="B884" s="7">
        <v>4270</v>
      </c>
      <c r="C884" s="7" t="str">
        <f t="shared" si="42"/>
        <v>070438000</v>
      </c>
      <c r="D884" s="7" t="s">
        <v>1099</v>
      </c>
      <c r="E884" s="7">
        <v>92605</v>
      </c>
      <c r="F884" s="7" t="str">
        <f>"078219001"</f>
        <v>078219001</v>
      </c>
      <c r="H884" s="7">
        <v>494</v>
      </c>
      <c r="I884" s="11">
        <v>0.41</v>
      </c>
    </row>
    <row r="885" spans="1:9">
      <c r="A885" s="7" t="s">
        <v>1095</v>
      </c>
      <c r="B885" s="7">
        <v>4270</v>
      </c>
      <c r="C885" s="7" t="str">
        <f t="shared" si="42"/>
        <v>070438000</v>
      </c>
      <c r="D885" s="7" t="s">
        <v>1100</v>
      </c>
      <c r="E885" s="7">
        <v>5329</v>
      </c>
      <c r="F885" s="7" t="str">
        <f>"070438160"</f>
        <v>070438160</v>
      </c>
      <c r="H885" s="7">
        <v>824</v>
      </c>
      <c r="I885" s="11">
        <v>0.22</v>
      </c>
    </row>
    <row r="886" spans="1:9">
      <c r="A886" s="7" t="s">
        <v>1095</v>
      </c>
      <c r="B886" s="7">
        <v>4270</v>
      </c>
      <c r="C886" s="7" t="str">
        <f t="shared" si="42"/>
        <v>070438000</v>
      </c>
      <c r="D886" s="7" t="s">
        <v>1101</v>
      </c>
      <c r="E886" s="7">
        <v>5328</v>
      </c>
      <c r="F886" s="7" t="str">
        <f>"070438150"</f>
        <v>070438150</v>
      </c>
      <c r="H886" s="7">
        <v>493</v>
      </c>
      <c r="I886" s="11">
        <v>0.63</v>
      </c>
    </row>
    <row r="887" spans="1:9">
      <c r="A887" s="7" t="s">
        <v>1095</v>
      </c>
      <c r="B887" s="7">
        <v>4270</v>
      </c>
      <c r="C887" s="7" t="str">
        <f t="shared" si="42"/>
        <v>070438000</v>
      </c>
      <c r="D887" s="7" t="s">
        <v>1102</v>
      </c>
      <c r="E887" s="7">
        <v>5326</v>
      </c>
      <c r="F887" s="7" t="str">
        <f>"070438130"</f>
        <v>070438130</v>
      </c>
      <c r="H887" s="7">
        <v>978</v>
      </c>
      <c r="I887" s="11">
        <v>0.17</v>
      </c>
    </row>
    <row r="888" spans="1:9">
      <c r="A888" s="7" t="s">
        <v>1095</v>
      </c>
      <c r="B888" s="7">
        <v>4270</v>
      </c>
      <c r="C888" s="7" t="str">
        <f t="shared" si="42"/>
        <v>070438000</v>
      </c>
      <c r="D888" s="7" t="s">
        <v>1103</v>
      </c>
      <c r="E888" s="7">
        <v>5327</v>
      </c>
      <c r="F888" s="7" t="str">
        <f>"070438140"</f>
        <v>070438140</v>
      </c>
      <c r="H888" s="7">
        <v>744</v>
      </c>
      <c r="I888" s="11">
        <v>0.46</v>
      </c>
    </row>
    <row r="889" spans="1:9">
      <c r="A889" s="7" t="s">
        <v>1095</v>
      </c>
      <c r="B889" s="7">
        <v>4270</v>
      </c>
      <c r="C889" s="7" t="str">
        <f t="shared" si="42"/>
        <v>070438000</v>
      </c>
      <c r="D889" s="7" t="s">
        <v>1104</v>
      </c>
      <c r="E889" s="7">
        <v>89622</v>
      </c>
      <c r="F889" s="7" t="str">
        <f>"070438111"</f>
        <v>070438111</v>
      </c>
      <c r="H889" s="7">
        <v>781</v>
      </c>
      <c r="I889" s="11">
        <v>0.19</v>
      </c>
    </row>
    <row r="890" spans="1:9">
      <c r="A890" s="7" t="s">
        <v>1105</v>
      </c>
      <c r="B890" s="7">
        <v>4199</v>
      </c>
      <c r="C890" s="7" t="str">
        <f>"030310000"</f>
        <v>030310000</v>
      </c>
      <c r="D890" s="7" t="s">
        <v>1106</v>
      </c>
      <c r="E890" s="7">
        <v>4839</v>
      </c>
      <c r="F890" s="7" t="str">
        <f>"030310101"</f>
        <v>030310101</v>
      </c>
      <c r="H890" s="7">
        <v>125</v>
      </c>
      <c r="I890" s="11">
        <v>0.42</v>
      </c>
    </row>
    <row r="891" spans="1:9">
      <c r="A891" s="7" t="s">
        <v>1107</v>
      </c>
      <c r="B891" s="7">
        <v>4439</v>
      </c>
      <c r="C891" s="7" t="str">
        <f>"110208000"</f>
        <v>110208000</v>
      </c>
      <c r="D891" s="7" t="s">
        <v>1108</v>
      </c>
      <c r="E891" s="7">
        <v>5904</v>
      </c>
      <c r="F891" s="7" t="str">
        <f>"110208281"</f>
        <v>110208281</v>
      </c>
      <c r="H891" s="7">
        <v>512</v>
      </c>
      <c r="I891" s="11">
        <v>0.82</v>
      </c>
    </row>
    <row r="892" spans="1:9" ht="28.5">
      <c r="A892" s="7" t="s">
        <v>1109</v>
      </c>
      <c r="B892" s="7">
        <v>90995</v>
      </c>
      <c r="C892" s="7" t="str">
        <f>"013903000"</f>
        <v>013903000</v>
      </c>
      <c r="D892" s="7" t="s">
        <v>1110</v>
      </c>
      <c r="E892" s="7">
        <v>90996</v>
      </c>
      <c r="F892" s="7" t="str">
        <f>"013903001"</f>
        <v>013903001</v>
      </c>
      <c r="G892" s="7" t="s">
        <v>16</v>
      </c>
      <c r="H892" s="7">
        <v>274</v>
      </c>
      <c r="I892" s="11" t="s">
        <v>17</v>
      </c>
    </row>
    <row r="893" spans="1:9" ht="28.5">
      <c r="A893" s="7" t="s">
        <v>1111</v>
      </c>
      <c r="B893" s="7">
        <v>78992</v>
      </c>
      <c r="C893" s="7" t="str">
        <f>"014002000"</f>
        <v>014002000</v>
      </c>
      <c r="D893" s="7" t="s">
        <v>1111</v>
      </c>
      <c r="E893" s="7">
        <v>78993</v>
      </c>
      <c r="F893" s="7" t="str">
        <f>"014005006"</f>
        <v>014005006</v>
      </c>
      <c r="G893" s="7" t="s">
        <v>16</v>
      </c>
      <c r="H893" s="7">
        <v>279</v>
      </c>
      <c r="I893" s="11" t="s">
        <v>17</v>
      </c>
    </row>
    <row r="894" spans="1:9">
      <c r="A894" s="7" t="s">
        <v>1112</v>
      </c>
      <c r="B894" s="7">
        <v>4404</v>
      </c>
      <c r="C894" s="7" t="str">
        <f t="shared" ref="C894:C909" si="43">"100206000"</f>
        <v>100206000</v>
      </c>
      <c r="D894" s="7" t="s">
        <v>1113</v>
      </c>
      <c r="E894" s="7">
        <v>5772</v>
      </c>
      <c r="F894" s="7" t="str">
        <f>"100206114"</f>
        <v>100206114</v>
      </c>
      <c r="H894" s="7">
        <v>487</v>
      </c>
      <c r="I894" s="11">
        <v>0.64</v>
      </c>
    </row>
    <row r="895" spans="1:9">
      <c r="A895" s="7" t="s">
        <v>1112</v>
      </c>
      <c r="B895" s="7">
        <v>4404</v>
      </c>
      <c r="C895" s="7" t="str">
        <f t="shared" si="43"/>
        <v>100206000</v>
      </c>
      <c r="D895" s="7" t="s">
        <v>1114</v>
      </c>
      <c r="E895" s="7">
        <v>5777</v>
      </c>
      <c r="F895" s="7" t="str">
        <f>"100206119"</f>
        <v>100206119</v>
      </c>
      <c r="H895" s="7">
        <v>484</v>
      </c>
      <c r="I895" s="11">
        <v>0.37</v>
      </c>
    </row>
    <row r="896" spans="1:9">
      <c r="A896" s="7" t="s">
        <v>1112</v>
      </c>
      <c r="B896" s="7">
        <v>4404</v>
      </c>
      <c r="C896" s="7" t="str">
        <f t="shared" si="43"/>
        <v>100206000</v>
      </c>
      <c r="D896" s="7" t="s">
        <v>1115</v>
      </c>
      <c r="E896" s="7">
        <v>5769</v>
      </c>
      <c r="F896" s="7" t="str">
        <f>"100206111"</f>
        <v>100206111</v>
      </c>
      <c r="H896" s="7">
        <v>396</v>
      </c>
      <c r="I896" s="11">
        <v>0.56999999999999995</v>
      </c>
    </row>
    <row r="897" spans="1:9">
      <c r="A897" s="7" t="s">
        <v>1112</v>
      </c>
      <c r="B897" s="7">
        <v>4404</v>
      </c>
      <c r="C897" s="7" t="str">
        <f t="shared" si="43"/>
        <v>100206000</v>
      </c>
      <c r="D897" s="7" t="s">
        <v>1116</v>
      </c>
      <c r="E897" s="7">
        <v>1000116</v>
      </c>
      <c r="F897" s="7" t="str">
        <f>"100206124"</f>
        <v>100206124</v>
      </c>
      <c r="H897" s="7">
        <v>955</v>
      </c>
      <c r="I897" s="11">
        <v>0.25</v>
      </c>
    </row>
    <row r="898" spans="1:9">
      <c r="A898" s="7" t="s">
        <v>1112</v>
      </c>
      <c r="B898" s="7">
        <v>4404</v>
      </c>
      <c r="C898" s="7" t="str">
        <f t="shared" si="43"/>
        <v>100206000</v>
      </c>
      <c r="D898" s="7" t="s">
        <v>1117</v>
      </c>
      <c r="E898" s="7">
        <v>713837</v>
      </c>
      <c r="F898" s="7" t="str">
        <f>"100206123"</f>
        <v>100206123</v>
      </c>
      <c r="H898" s="7">
        <v>760</v>
      </c>
      <c r="I898" s="11">
        <v>0.28000000000000003</v>
      </c>
    </row>
    <row r="899" spans="1:9">
      <c r="A899" s="7" t="s">
        <v>1112</v>
      </c>
      <c r="B899" s="7">
        <v>4404</v>
      </c>
      <c r="C899" s="7" t="str">
        <f t="shared" si="43"/>
        <v>100206000</v>
      </c>
      <c r="D899" s="7" t="s">
        <v>1118</v>
      </c>
      <c r="E899" s="7">
        <v>5775</v>
      </c>
      <c r="F899" s="7" t="str">
        <f>"100206117"</f>
        <v>100206117</v>
      </c>
      <c r="H899" s="7">
        <v>391</v>
      </c>
      <c r="I899" s="11">
        <v>0.47</v>
      </c>
    </row>
    <row r="900" spans="1:9">
      <c r="A900" s="7" t="s">
        <v>1112</v>
      </c>
      <c r="B900" s="7">
        <v>4404</v>
      </c>
      <c r="C900" s="7" t="str">
        <f t="shared" si="43"/>
        <v>100206000</v>
      </c>
      <c r="D900" s="7" t="s">
        <v>1119</v>
      </c>
      <c r="E900" s="7">
        <v>5781</v>
      </c>
      <c r="F900" s="7" t="str">
        <f>"100206240"</f>
        <v>100206240</v>
      </c>
      <c r="H900" s="7">
        <v>2434</v>
      </c>
      <c r="I900" s="11">
        <v>0.42</v>
      </c>
    </row>
    <row r="901" spans="1:9">
      <c r="A901" s="7" t="s">
        <v>1112</v>
      </c>
      <c r="B901" s="7">
        <v>4404</v>
      </c>
      <c r="C901" s="7" t="str">
        <f t="shared" si="43"/>
        <v>100206000</v>
      </c>
      <c r="D901" s="7" t="s">
        <v>1120</v>
      </c>
      <c r="E901" s="7">
        <v>5779</v>
      </c>
      <c r="F901" s="7" t="str">
        <f>"100206130"</f>
        <v>100206130</v>
      </c>
      <c r="H901" s="7">
        <v>929</v>
      </c>
      <c r="I901" s="11">
        <v>0.5</v>
      </c>
    </row>
    <row r="902" spans="1:9" ht="28.5">
      <c r="A902" s="7" t="s">
        <v>1112</v>
      </c>
      <c r="B902" s="7">
        <v>4404</v>
      </c>
      <c r="C902" s="7" t="str">
        <f t="shared" si="43"/>
        <v>100206000</v>
      </c>
      <c r="D902" s="7" t="s">
        <v>1121</v>
      </c>
      <c r="E902" s="7">
        <v>5770</v>
      </c>
      <c r="F902" s="7" t="str">
        <f>"100206112"</f>
        <v>100206112</v>
      </c>
      <c r="H902" s="7">
        <v>815</v>
      </c>
      <c r="I902" s="11">
        <v>0.59</v>
      </c>
    </row>
    <row r="903" spans="1:9">
      <c r="A903" s="7" t="s">
        <v>1112</v>
      </c>
      <c r="B903" s="7">
        <v>4404</v>
      </c>
      <c r="C903" s="7" t="str">
        <f t="shared" si="43"/>
        <v>100206000</v>
      </c>
      <c r="D903" s="7" t="s">
        <v>1122</v>
      </c>
      <c r="E903" s="7">
        <v>5782</v>
      </c>
      <c r="F903" s="7" t="str">
        <f>"100206241"</f>
        <v>100206241</v>
      </c>
      <c r="H903" s="7">
        <v>1876</v>
      </c>
      <c r="I903" s="11">
        <v>0.4</v>
      </c>
    </row>
    <row r="904" spans="1:9">
      <c r="A904" s="7" t="s">
        <v>1112</v>
      </c>
      <c r="B904" s="7">
        <v>4404</v>
      </c>
      <c r="C904" s="7" t="str">
        <f t="shared" si="43"/>
        <v>100206000</v>
      </c>
      <c r="D904" s="7" t="s">
        <v>1123</v>
      </c>
      <c r="E904" s="7">
        <v>5774</v>
      </c>
      <c r="F904" s="7" t="str">
        <f>"100206116"</f>
        <v>100206116</v>
      </c>
      <c r="H904" s="7">
        <v>507</v>
      </c>
      <c r="I904" s="11">
        <v>0.77</v>
      </c>
    </row>
    <row r="905" spans="1:9">
      <c r="A905" s="7" t="s">
        <v>1112</v>
      </c>
      <c r="B905" s="7">
        <v>4404</v>
      </c>
      <c r="C905" s="7" t="str">
        <f t="shared" si="43"/>
        <v>100206000</v>
      </c>
      <c r="D905" s="7" t="s">
        <v>1124</v>
      </c>
      <c r="E905" s="7">
        <v>5776</v>
      </c>
      <c r="F905" s="7" t="str">
        <f>"100206118"</f>
        <v>100206118</v>
      </c>
      <c r="H905" s="7">
        <v>758</v>
      </c>
      <c r="I905" s="11">
        <v>0.51</v>
      </c>
    </row>
    <row r="906" spans="1:9">
      <c r="A906" s="7" t="s">
        <v>1112</v>
      </c>
      <c r="B906" s="7">
        <v>4404</v>
      </c>
      <c r="C906" s="7" t="str">
        <f t="shared" si="43"/>
        <v>100206000</v>
      </c>
      <c r="D906" s="7" t="s">
        <v>1125</v>
      </c>
      <c r="E906" s="7">
        <v>89585</v>
      </c>
      <c r="F906" s="7" t="str">
        <f>"100206122"</f>
        <v>100206122</v>
      </c>
      <c r="H906" s="7">
        <v>432</v>
      </c>
      <c r="I906" s="11">
        <v>0.33</v>
      </c>
    </row>
    <row r="907" spans="1:9">
      <c r="A907" s="7" t="s">
        <v>1112</v>
      </c>
      <c r="B907" s="7">
        <v>4404</v>
      </c>
      <c r="C907" s="7" t="str">
        <f t="shared" si="43"/>
        <v>100206000</v>
      </c>
      <c r="D907" s="7" t="s">
        <v>1126</v>
      </c>
      <c r="E907" s="7">
        <v>5773</v>
      </c>
      <c r="F907" s="7" t="str">
        <f>"100206115"</f>
        <v>100206115</v>
      </c>
      <c r="H907" s="7">
        <v>408</v>
      </c>
      <c r="I907" s="11">
        <v>0.79</v>
      </c>
    </row>
    <row r="908" spans="1:9">
      <c r="A908" s="7" t="s">
        <v>1112</v>
      </c>
      <c r="B908" s="7">
        <v>4404</v>
      </c>
      <c r="C908" s="7" t="str">
        <f t="shared" si="43"/>
        <v>100206000</v>
      </c>
      <c r="D908" s="7" t="s">
        <v>1127</v>
      </c>
      <c r="E908" s="7">
        <v>5780</v>
      </c>
      <c r="F908" s="7" t="str">
        <f>"100206131"</f>
        <v>100206131</v>
      </c>
      <c r="H908" s="7">
        <v>523</v>
      </c>
      <c r="I908" s="11">
        <v>0.56000000000000005</v>
      </c>
    </row>
    <row r="909" spans="1:9">
      <c r="A909" s="7" t="s">
        <v>1112</v>
      </c>
      <c r="B909" s="7">
        <v>4404</v>
      </c>
      <c r="C909" s="7" t="str">
        <f t="shared" si="43"/>
        <v>100206000</v>
      </c>
      <c r="D909" s="7" t="s">
        <v>1128</v>
      </c>
      <c r="E909" s="7">
        <v>79445</v>
      </c>
      <c r="F909" s="7" t="str">
        <f>"100206121"</f>
        <v>100206121</v>
      </c>
      <c r="H909" s="7">
        <v>959</v>
      </c>
      <c r="I909" s="11">
        <v>0.34</v>
      </c>
    </row>
    <row r="910" spans="1:9" ht="28.5">
      <c r="A910" s="7" t="s">
        <v>1129</v>
      </c>
      <c r="B910" s="7">
        <v>4314</v>
      </c>
      <c r="C910" s="7" t="str">
        <f>"078647000"</f>
        <v>078647000</v>
      </c>
      <c r="D910" s="7" t="s">
        <v>1130</v>
      </c>
      <c r="E910" s="7">
        <v>5480</v>
      </c>
      <c r="F910" s="7" t="str">
        <f>"078647201"</f>
        <v>078647201</v>
      </c>
      <c r="G910" s="7" t="s">
        <v>26</v>
      </c>
      <c r="H910" s="7">
        <v>349</v>
      </c>
      <c r="I910" s="11">
        <v>0.93</v>
      </c>
    </row>
    <row r="911" spans="1:9" ht="28.5">
      <c r="A911" s="7" t="s">
        <v>1131</v>
      </c>
      <c r="B911" s="7">
        <v>4234</v>
      </c>
      <c r="C911" s="7" t="str">
        <f>"070199000"</f>
        <v>070199000</v>
      </c>
      <c r="D911" s="7" t="s">
        <v>1132</v>
      </c>
      <c r="E911" s="7">
        <v>969999</v>
      </c>
      <c r="F911" s="7" t="str">
        <f>"070199008"</f>
        <v>070199008</v>
      </c>
      <c r="G911" s="7" t="s">
        <v>16</v>
      </c>
      <c r="H911" s="7">
        <v>83</v>
      </c>
      <c r="I911" s="11">
        <v>0.67</v>
      </c>
    </row>
    <row r="912" spans="1:9">
      <c r="A912" s="7" t="s">
        <v>1133</v>
      </c>
      <c r="B912" s="7">
        <v>7291</v>
      </c>
      <c r="C912" s="7" t="str">
        <f>"071001000"</f>
        <v>071001000</v>
      </c>
      <c r="D912" s="7" t="s">
        <v>1134</v>
      </c>
      <c r="E912" s="7">
        <v>89614</v>
      </c>
      <c r="F912" s="7" t="str">
        <f>"071001002"</f>
        <v>071001002</v>
      </c>
      <c r="H912" s="7">
        <v>171</v>
      </c>
      <c r="I912" s="11" t="s">
        <v>17</v>
      </c>
    </row>
    <row r="913" spans="1:9">
      <c r="A913" s="7" t="s">
        <v>1135</v>
      </c>
      <c r="B913" s="7">
        <v>4441</v>
      </c>
      <c r="C913" s="7" t="str">
        <f t="shared" ref="C913:C922" si="44">"110220000"</f>
        <v>110220000</v>
      </c>
      <c r="D913" s="7" t="s">
        <v>1113</v>
      </c>
      <c r="E913" s="7">
        <v>89910</v>
      </c>
      <c r="F913" s="7" t="str">
        <f>"110220108"</f>
        <v>110220108</v>
      </c>
      <c r="H913" s="7">
        <v>906</v>
      </c>
      <c r="I913" s="11">
        <v>0.59</v>
      </c>
    </row>
    <row r="914" spans="1:9">
      <c r="A914" s="7" t="s">
        <v>1135</v>
      </c>
      <c r="B914" s="7">
        <v>4441</v>
      </c>
      <c r="C914" s="7" t="str">
        <f t="shared" si="44"/>
        <v>110220000</v>
      </c>
      <c r="D914" s="7" t="s">
        <v>1136</v>
      </c>
      <c r="E914" s="7">
        <v>1001884</v>
      </c>
      <c r="F914" s="7" t="str">
        <f>"110220203"</f>
        <v>110220203</v>
      </c>
      <c r="H914" s="7">
        <v>1021</v>
      </c>
      <c r="I914" s="11">
        <v>0.56000000000000005</v>
      </c>
    </row>
    <row r="915" spans="1:9">
      <c r="A915" s="7" t="s">
        <v>1135</v>
      </c>
      <c r="B915" s="7">
        <v>4441</v>
      </c>
      <c r="C915" s="7" t="str">
        <f t="shared" si="44"/>
        <v>110220000</v>
      </c>
      <c r="D915" s="7" t="s">
        <v>1137</v>
      </c>
      <c r="E915" s="7">
        <v>89911</v>
      </c>
      <c r="F915" s="7" t="str">
        <f>"110220134"</f>
        <v>110220134</v>
      </c>
      <c r="H915" s="7">
        <v>938</v>
      </c>
      <c r="I915" s="11">
        <v>0.6</v>
      </c>
    </row>
    <row r="916" spans="1:9">
      <c r="A916" s="7" t="s">
        <v>1135</v>
      </c>
      <c r="B916" s="7">
        <v>4441</v>
      </c>
      <c r="C916" s="7" t="str">
        <f t="shared" si="44"/>
        <v>110220000</v>
      </c>
      <c r="D916" s="7" t="s">
        <v>1138</v>
      </c>
      <c r="E916" s="7">
        <v>5908</v>
      </c>
      <c r="F916" s="7" t="str">
        <f>"110220101"</f>
        <v>110220101</v>
      </c>
      <c r="H916" s="7">
        <v>883</v>
      </c>
      <c r="I916" s="11">
        <v>0.69</v>
      </c>
    </row>
    <row r="917" spans="1:9">
      <c r="A917" s="7" t="s">
        <v>1135</v>
      </c>
      <c r="B917" s="7">
        <v>4441</v>
      </c>
      <c r="C917" s="7" t="str">
        <f t="shared" si="44"/>
        <v>110220000</v>
      </c>
      <c r="D917" s="7" t="s">
        <v>1139</v>
      </c>
      <c r="E917" s="7">
        <v>5910</v>
      </c>
      <c r="F917" s="7" t="str">
        <f>"110220202"</f>
        <v>110220202</v>
      </c>
      <c r="H917" s="7">
        <v>2106</v>
      </c>
      <c r="I917" s="11">
        <v>0.55000000000000004</v>
      </c>
    </row>
    <row r="918" spans="1:9">
      <c r="A918" s="7" t="s">
        <v>1135</v>
      </c>
      <c r="B918" s="7">
        <v>4441</v>
      </c>
      <c r="C918" s="7" t="str">
        <f t="shared" si="44"/>
        <v>110220000</v>
      </c>
      <c r="D918" s="7" t="s">
        <v>1140</v>
      </c>
      <c r="E918" s="7">
        <v>5909</v>
      </c>
      <c r="F918" s="7" t="str">
        <f>"110220133"</f>
        <v>110220133</v>
      </c>
      <c r="H918" s="7">
        <v>915</v>
      </c>
      <c r="I918" s="11">
        <v>0.68</v>
      </c>
    </row>
    <row r="919" spans="1:9">
      <c r="A919" s="7" t="s">
        <v>1135</v>
      </c>
      <c r="B919" s="7">
        <v>4441</v>
      </c>
      <c r="C919" s="7" t="str">
        <f t="shared" si="44"/>
        <v>110220000</v>
      </c>
      <c r="D919" s="7" t="s">
        <v>1141</v>
      </c>
      <c r="E919" s="7">
        <v>87479</v>
      </c>
      <c r="F919" s="7" t="str">
        <f>"110220105"</f>
        <v>110220105</v>
      </c>
      <c r="H919" s="7">
        <v>441</v>
      </c>
      <c r="I919" s="11">
        <v>0.49</v>
      </c>
    </row>
    <row r="920" spans="1:9">
      <c r="A920" s="7" t="s">
        <v>1135</v>
      </c>
      <c r="B920" s="7">
        <v>4441</v>
      </c>
      <c r="C920" s="7" t="str">
        <f t="shared" si="44"/>
        <v>110220000</v>
      </c>
      <c r="D920" s="7" t="s">
        <v>1142</v>
      </c>
      <c r="E920" s="7">
        <v>89909</v>
      </c>
      <c r="F920" s="7" t="str">
        <f>"110220109"</f>
        <v>110220109</v>
      </c>
      <c r="H920" s="7">
        <v>763</v>
      </c>
      <c r="I920" s="11">
        <v>0.61</v>
      </c>
    </row>
    <row r="921" spans="1:9">
      <c r="A921" s="7" t="s">
        <v>1135</v>
      </c>
      <c r="B921" s="7">
        <v>4441</v>
      </c>
      <c r="C921" s="7" t="str">
        <f t="shared" si="44"/>
        <v>110220000</v>
      </c>
      <c r="D921" s="7" t="s">
        <v>1143</v>
      </c>
      <c r="E921" s="7">
        <v>88405</v>
      </c>
      <c r="F921" s="7" t="str">
        <f>"110220106"</f>
        <v>110220106</v>
      </c>
      <c r="H921" s="7">
        <v>904</v>
      </c>
      <c r="I921" s="11">
        <v>0.67</v>
      </c>
    </row>
    <row r="922" spans="1:9">
      <c r="A922" s="7" t="s">
        <v>1135</v>
      </c>
      <c r="B922" s="7">
        <v>4441</v>
      </c>
      <c r="C922" s="7" t="str">
        <f t="shared" si="44"/>
        <v>110220000</v>
      </c>
      <c r="D922" s="7" t="s">
        <v>1144</v>
      </c>
      <c r="E922" s="7">
        <v>81058</v>
      </c>
      <c r="F922" s="7" t="str">
        <f>"110220104"</f>
        <v>110220104</v>
      </c>
      <c r="H922" s="7">
        <v>548</v>
      </c>
      <c r="I922" s="11">
        <v>0.53</v>
      </c>
    </row>
    <row r="923" spans="1:9">
      <c r="A923" s="7" t="s">
        <v>1145</v>
      </c>
      <c r="B923" s="7">
        <v>4435</v>
      </c>
      <c r="C923" s="7" t="str">
        <f>"110100000"</f>
        <v>110100000</v>
      </c>
      <c r="D923" s="7" t="s">
        <v>1146</v>
      </c>
      <c r="E923" s="7">
        <v>5893</v>
      </c>
      <c r="F923" s="7" t="str">
        <f>"110100001"</f>
        <v>110100001</v>
      </c>
      <c r="G923" s="7" t="s">
        <v>1147</v>
      </c>
      <c r="H923" s="7">
        <v>125</v>
      </c>
      <c r="I923" s="11">
        <v>0.62</v>
      </c>
    </row>
    <row r="924" spans="1:9" ht="28.5">
      <c r="A924" s="7" t="s">
        <v>1145</v>
      </c>
      <c r="B924" s="7">
        <v>4435</v>
      </c>
      <c r="C924" s="7" t="str">
        <f>"110100000"</f>
        <v>110100000</v>
      </c>
      <c r="D924" s="7" t="s">
        <v>1148</v>
      </c>
      <c r="E924" s="7">
        <v>6067</v>
      </c>
      <c r="F924" s="7" t="str">
        <f>"110100003"</f>
        <v>110100003</v>
      </c>
      <c r="G924" s="7" t="s">
        <v>1147</v>
      </c>
      <c r="H924" s="7">
        <v>63</v>
      </c>
      <c r="I924" s="11">
        <v>0.74</v>
      </c>
    </row>
    <row r="925" spans="1:9" ht="28.5">
      <c r="A925" s="7" t="s">
        <v>1149</v>
      </c>
      <c r="B925" s="7">
        <v>90861</v>
      </c>
      <c r="C925" s="7" t="str">
        <f>"078592000"</f>
        <v>078592000</v>
      </c>
      <c r="D925" s="7" t="s">
        <v>1150</v>
      </c>
      <c r="E925" s="7">
        <v>91781</v>
      </c>
      <c r="F925" s="7" t="str">
        <f>"078592001"</f>
        <v>078592001</v>
      </c>
      <c r="H925" s="7">
        <v>1114</v>
      </c>
      <c r="I925" s="11">
        <v>0.78</v>
      </c>
    </row>
    <row r="926" spans="1:9" ht="28.5">
      <c r="A926" s="7" t="s">
        <v>1151</v>
      </c>
      <c r="B926" s="7">
        <v>89852</v>
      </c>
      <c r="C926" s="7" t="str">
        <f>"108798000"</f>
        <v>108798000</v>
      </c>
      <c r="D926" s="7" t="s">
        <v>1152</v>
      </c>
      <c r="E926" s="7">
        <v>89853</v>
      </c>
      <c r="F926" s="7" t="str">
        <f>"108798101"</f>
        <v>108798101</v>
      </c>
      <c r="H926" s="7">
        <v>718</v>
      </c>
      <c r="I926" s="11">
        <v>0.75</v>
      </c>
    </row>
    <row r="927" spans="1:9" ht="28.5">
      <c r="A927" s="7" t="s">
        <v>1153</v>
      </c>
      <c r="B927" s="7">
        <v>4473</v>
      </c>
      <c r="C927" s="7" t="str">
        <f>"130243000"</f>
        <v>130243000</v>
      </c>
      <c r="D927" s="7" t="s">
        <v>1154</v>
      </c>
      <c r="E927" s="7">
        <v>6107</v>
      </c>
      <c r="F927" s="7" t="str">
        <f>"130243101"</f>
        <v>130243101</v>
      </c>
      <c r="G927" s="7" t="s">
        <v>16</v>
      </c>
      <c r="H927" s="7">
        <v>387</v>
      </c>
      <c r="I927" s="12">
        <v>0.9</v>
      </c>
    </row>
    <row r="928" spans="1:9">
      <c r="A928" s="7" t="s">
        <v>1153</v>
      </c>
      <c r="B928" s="7">
        <v>4473</v>
      </c>
      <c r="C928" s="7" t="str">
        <f>"130243000"</f>
        <v>130243000</v>
      </c>
      <c r="D928" s="7" t="s">
        <v>1155</v>
      </c>
      <c r="E928" s="7">
        <v>6106</v>
      </c>
      <c r="F928" s="7" t="str">
        <f>"130243203"</f>
        <v>130243203</v>
      </c>
      <c r="H928" s="7">
        <v>180</v>
      </c>
      <c r="I928" s="11">
        <v>0.82</v>
      </c>
    </row>
    <row r="929" spans="1:9" ht="28.5">
      <c r="A929" s="7" t="s">
        <v>1156</v>
      </c>
      <c r="B929" s="7">
        <v>81174</v>
      </c>
      <c r="C929" s="7" t="str">
        <f>"078743000"</f>
        <v>078743000</v>
      </c>
      <c r="D929" s="7" t="s">
        <v>1157</v>
      </c>
      <c r="E929" s="7">
        <v>81175</v>
      </c>
      <c r="F929" s="7" t="str">
        <f>"078743201"</f>
        <v>078743201</v>
      </c>
      <c r="H929" s="7">
        <v>255</v>
      </c>
      <c r="I929" s="11">
        <v>0.69</v>
      </c>
    </row>
    <row r="930" spans="1:9" ht="28.5">
      <c r="A930" s="7" t="s">
        <v>1158</v>
      </c>
      <c r="B930" s="7">
        <v>4163</v>
      </c>
      <c r="C930" s="7" t="str">
        <f>"010323000"</f>
        <v>010323000</v>
      </c>
      <c r="D930" s="7" t="s">
        <v>1159</v>
      </c>
      <c r="E930" s="7">
        <v>4745</v>
      </c>
      <c r="F930" s="7" t="str">
        <f>"010323101"</f>
        <v>010323101</v>
      </c>
      <c r="G930" s="7" t="s">
        <v>16</v>
      </c>
      <c r="H930" s="7">
        <v>189</v>
      </c>
      <c r="I930" s="11" t="s">
        <v>17</v>
      </c>
    </row>
    <row r="931" spans="1:9">
      <c r="A931" s="7" t="s">
        <v>1160</v>
      </c>
      <c r="B931" s="7">
        <v>4181</v>
      </c>
      <c r="C931" s="7" t="str">
        <f>"020355000"</f>
        <v>020355000</v>
      </c>
      <c r="D931" s="7" t="s">
        <v>1161</v>
      </c>
      <c r="E931" s="7">
        <v>4790</v>
      </c>
      <c r="F931" s="7" t="str">
        <f>"020355001"</f>
        <v>020355001</v>
      </c>
      <c r="H931" s="7">
        <v>40</v>
      </c>
      <c r="I931" s="11">
        <v>0.9</v>
      </c>
    </row>
    <row r="932" spans="1:9">
      <c r="A932" s="7" t="s">
        <v>1162</v>
      </c>
      <c r="B932" s="7">
        <v>4235</v>
      </c>
      <c r="C932" s="7" t="str">
        <f t="shared" ref="C932:C995" si="45">"070204000"</f>
        <v>070204000</v>
      </c>
      <c r="D932" s="7" t="s">
        <v>1163</v>
      </c>
      <c r="E932" s="7">
        <v>4913</v>
      </c>
      <c r="F932" s="7" t="str">
        <f>"070204101"</f>
        <v>070204101</v>
      </c>
      <c r="H932" s="7">
        <v>686</v>
      </c>
      <c r="I932" s="11">
        <v>0.85</v>
      </c>
    </row>
    <row r="933" spans="1:9">
      <c r="A933" s="7" t="s">
        <v>1162</v>
      </c>
      <c r="B933" s="7">
        <v>4235</v>
      </c>
      <c r="C933" s="7" t="str">
        <f t="shared" si="45"/>
        <v>070204000</v>
      </c>
      <c r="D933" s="7" t="s">
        <v>1164</v>
      </c>
      <c r="E933" s="7">
        <v>79490</v>
      </c>
      <c r="F933" s="7" t="str">
        <f>"070204156"</f>
        <v>070204156</v>
      </c>
      <c r="H933" s="7">
        <v>486</v>
      </c>
      <c r="I933" s="11">
        <v>0.62</v>
      </c>
    </row>
    <row r="934" spans="1:9">
      <c r="A934" s="7" t="s">
        <v>1162</v>
      </c>
      <c r="B934" s="7">
        <v>4235</v>
      </c>
      <c r="C934" s="7" t="str">
        <f t="shared" si="45"/>
        <v>070204000</v>
      </c>
      <c r="D934" s="7" t="s">
        <v>1165</v>
      </c>
      <c r="E934" s="7">
        <v>4961</v>
      </c>
      <c r="F934" s="7" t="str">
        <f>"070204149"</f>
        <v>070204149</v>
      </c>
      <c r="H934" s="7">
        <v>500</v>
      </c>
      <c r="I934" s="11">
        <v>0.39</v>
      </c>
    </row>
    <row r="935" spans="1:9">
      <c r="A935" s="7" t="s">
        <v>1162</v>
      </c>
      <c r="B935" s="7">
        <v>4235</v>
      </c>
      <c r="C935" s="7" t="str">
        <f t="shared" si="45"/>
        <v>070204000</v>
      </c>
      <c r="D935" s="7" t="s">
        <v>1166</v>
      </c>
      <c r="E935" s="7">
        <v>4969</v>
      </c>
      <c r="F935" s="7" t="str">
        <f>"070204252"</f>
        <v>070204252</v>
      </c>
      <c r="H935" s="7">
        <v>915</v>
      </c>
      <c r="I935" s="11">
        <v>0.8</v>
      </c>
    </row>
    <row r="936" spans="1:9">
      <c r="A936" s="7" t="s">
        <v>1162</v>
      </c>
      <c r="B936" s="7">
        <v>4235</v>
      </c>
      <c r="C936" s="7" t="str">
        <f t="shared" si="45"/>
        <v>070204000</v>
      </c>
      <c r="D936" s="7" t="s">
        <v>1167</v>
      </c>
      <c r="E936" s="7">
        <v>4945</v>
      </c>
      <c r="F936" s="7" t="str">
        <f>"070204133"</f>
        <v>070204133</v>
      </c>
      <c r="H936" s="7">
        <v>419</v>
      </c>
      <c r="I936" s="11">
        <v>0.6</v>
      </c>
    </row>
    <row r="937" spans="1:9" ht="28.5">
      <c r="A937" s="7" t="s">
        <v>1162</v>
      </c>
      <c r="B937" s="7">
        <v>4235</v>
      </c>
      <c r="C937" s="7" t="str">
        <f t="shared" si="45"/>
        <v>070204000</v>
      </c>
      <c r="D937" s="7" t="s">
        <v>1168</v>
      </c>
      <c r="E937" s="7">
        <v>88420</v>
      </c>
      <c r="F937" s="7" t="str">
        <f>"070204282"</f>
        <v>070204282</v>
      </c>
      <c r="H937" s="7">
        <v>42</v>
      </c>
      <c r="I937" s="11">
        <v>0.71</v>
      </c>
    </row>
    <row r="938" spans="1:9">
      <c r="A938" s="7" t="s">
        <v>1162</v>
      </c>
      <c r="B938" s="7">
        <v>4235</v>
      </c>
      <c r="C938" s="7" t="str">
        <f t="shared" si="45"/>
        <v>070204000</v>
      </c>
      <c r="D938" s="7" t="s">
        <v>1169</v>
      </c>
      <c r="E938" s="7">
        <v>4983</v>
      </c>
      <c r="F938" s="7" t="str">
        <f>"070204274"</f>
        <v>070204274</v>
      </c>
      <c r="H938" s="7">
        <v>2375</v>
      </c>
      <c r="I938" s="11">
        <v>0.62</v>
      </c>
    </row>
    <row r="939" spans="1:9">
      <c r="A939" s="7" t="s">
        <v>1162</v>
      </c>
      <c r="B939" s="7">
        <v>4235</v>
      </c>
      <c r="C939" s="7" t="str">
        <f t="shared" si="45"/>
        <v>070204000</v>
      </c>
      <c r="D939" s="7" t="s">
        <v>1170</v>
      </c>
      <c r="E939" s="7">
        <v>4967</v>
      </c>
      <c r="F939" s="7" t="str">
        <f>"070204195"</f>
        <v>070204195</v>
      </c>
      <c r="H939" s="7">
        <v>1000</v>
      </c>
      <c r="I939" s="11">
        <v>0.33</v>
      </c>
    </row>
    <row r="940" spans="1:9">
      <c r="A940" s="7" t="s">
        <v>1162</v>
      </c>
      <c r="B940" s="7">
        <v>4235</v>
      </c>
      <c r="C940" s="7" t="str">
        <f t="shared" si="45"/>
        <v>070204000</v>
      </c>
      <c r="D940" s="7" t="s">
        <v>1171</v>
      </c>
      <c r="E940" s="7">
        <v>78932</v>
      </c>
      <c r="F940" s="7" t="str">
        <f>"070204278"</f>
        <v>070204278</v>
      </c>
      <c r="H940" s="7">
        <v>308</v>
      </c>
      <c r="I940" s="11">
        <v>0.79</v>
      </c>
    </row>
    <row r="941" spans="1:9">
      <c r="A941" s="7" t="s">
        <v>1162</v>
      </c>
      <c r="B941" s="7">
        <v>4235</v>
      </c>
      <c r="C941" s="7" t="str">
        <f t="shared" si="45"/>
        <v>070204000</v>
      </c>
      <c r="D941" s="7" t="s">
        <v>1172</v>
      </c>
      <c r="E941" s="7">
        <v>4915</v>
      </c>
      <c r="F941" s="7" t="str">
        <f>"070204103"</f>
        <v>070204103</v>
      </c>
      <c r="H941" s="7">
        <v>580</v>
      </c>
      <c r="I941" s="11">
        <v>0.81</v>
      </c>
    </row>
    <row r="942" spans="1:9">
      <c r="A942" s="7" t="s">
        <v>1162</v>
      </c>
      <c r="B942" s="7">
        <v>4235</v>
      </c>
      <c r="C942" s="7" t="str">
        <f t="shared" si="45"/>
        <v>070204000</v>
      </c>
      <c r="D942" s="7" t="s">
        <v>1173</v>
      </c>
      <c r="E942" s="7">
        <v>4932</v>
      </c>
      <c r="F942" s="7" t="str">
        <f>"070204120"</f>
        <v>070204120</v>
      </c>
      <c r="H942" s="7">
        <v>448</v>
      </c>
      <c r="I942" s="11">
        <v>0.82</v>
      </c>
    </row>
    <row r="943" spans="1:9">
      <c r="A943" s="7" t="s">
        <v>1162</v>
      </c>
      <c r="B943" s="7">
        <v>4235</v>
      </c>
      <c r="C943" s="7" t="str">
        <f t="shared" si="45"/>
        <v>070204000</v>
      </c>
      <c r="D943" s="7" t="s">
        <v>1174</v>
      </c>
      <c r="E943" s="7">
        <v>4916</v>
      </c>
      <c r="F943" s="7" t="str">
        <f>"070204104"</f>
        <v>070204104</v>
      </c>
      <c r="H943" s="7">
        <v>737</v>
      </c>
      <c r="I943" s="11">
        <v>0.75</v>
      </c>
    </row>
    <row r="944" spans="1:9">
      <c r="A944" s="7" t="s">
        <v>1162</v>
      </c>
      <c r="B944" s="7">
        <v>4235</v>
      </c>
      <c r="C944" s="7" t="str">
        <f t="shared" si="45"/>
        <v>070204000</v>
      </c>
      <c r="D944" s="7" t="s">
        <v>1175</v>
      </c>
      <c r="E944" s="7">
        <v>4959</v>
      </c>
      <c r="F944" s="7" t="str">
        <f>"070204147"</f>
        <v>070204147</v>
      </c>
      <c r="H944" s="7">
        <v>600</v>
      </c>
      <c r="I944" s="11">
        <v>0.49</v>
      </c>
    </row>
    <row r="945" spans="1:9">
      <c r="A945" s="7" t="s">
        <v>1162</v>
      </c>
      <c r="B945" s="7">
        <v>4235</v>
      </c>
      <c r="C945" s="7" t="str">
        <f t="shared" si="45"/>
        <v>070204000</v>
      </c>
      <c r="D945" s="7" t="s">
        <v>1176</v>
      </c>
      <c r="E945" s="7">
        <v>4956</v>
      </c>
      <c r="F945" s="7" t="str">
        <f>"070204144"</f>
        <v>070204144</v>
      </c>
      <c r="H945" s="7">
        <v>547</v>
      </c>
      <c r="I945" s="11">
        <v>0.54</v>
      </c>
    </row>
    <row r="946" spans="1:9">
      <c r="A946" s="7" t="s">
        <v>1162</v>
      </c>
      <c r="B946" s="7">
        <v>4235</v>
      </c>
      <c r="C946" s="7" t="str">
        <f t="shared" si="45"/>
        <v>070204000</v>
      </c>
      <c r="D946" s="7" t="s">
        <v>1177</v>
      </c>
      <c r="E946" s="7">
        <v>4937</v>
      </c>
      <c r="F946" s="7" t="str">
        <f>"070204125"</f>
        <v>070204125</v>
      </c>
      <c r="H946" s="7">
        <v>528</v>
      </c>
      <c r="I946" s="11">
        <v>0.7</v>
      </c>
    </row>
    <row r="947" spans="1:9" ht="28.5">
      <c r="A947" s="7" t="s">
        <v>1162</v>
      </c>
      <c r="B947" s="7">
        <v>4235</v>
      </c>
      <c r="C947" s="7" t="str">
        <f t="shared" si="45"/>
        <v>070204000</v>
      </c>
      <c r="D947" s="7" t="s">
        <v>1178</v>
      </c>
      <c r="E947" s="7">
        <v>91812</v>
      </c>
      <c r="F947" s="7" t="str">
        <f>"070204159"</f>
        <v>070204159</v>
      </c>
      <c r="H947" s="7">
        <v>863</v>
      </c>
      <c r="I947" s="11">
        <v>0.27</v>
      </c>
    </row>
    <row r="948" spans="1:9" ht="28.5">
      <c r="A948" s="7" t="s">
        <v>1162</v>
      </c>
      <c r="B948" s="7">
        <v>4235</v>
      </c>
      <c r="C948" s="7" t="str">
        <f t="shared" si="45"/>
        <v>070204000</v>
      </c>
      <c r="D948" s="7" t="s">
        <v>1179</v>
      </c>
      <c r="E948" s="7">
        <v>4926</v>
      </c>
      <c r="F948" s="7" t="str">
        <f>"070204114"</f>
        <v>070204114</v>
      </c>
      <c r="H948" s="7">
        <v>427</v>
      </c>
      <c r="I948" s="11">
        <v>0.59</v>
      </c>
    </row>
    <row r="949" spans="1:9" ht="28.5">
      <c r="A949" s="7" t="s">
        <v>1162</v>
      </c>
      <c r="B949" s="7">
        <v>4235</v>
      </c>
      <c r="C949" s="7" t="str">
        <f t="shared" si="45"/>
        <v>070204000</v>
      </c>
      <c r="D949" s="7" t="s">
        <v>1180</v>
      </c>
      <c r="E949" s="7">
        <v>4917</v>
      </c>
      <c r="F949" s="7" t="str">
        <f>"070204105"</f>
        <v>070204105</v>
      </c>
      <c r="H949" s="7">
        <v>552</v>
      </c>
      <c r="I949" s="11">
        <v>0.51</v>
      </c>
    </row>
    <row r="950" spans="1:9" ht="28.5">
      <c r="A950" s="7" t="s">
        <v>1162</v>
      </c>
      <c r="B950" s="7">
        <v>4235</v>
      </c>
      <c r="C950" s="7" t="str">
        <f t="shared" si="45"/>
        <v>070204000</v>
      </c>
      <c r="D950" s="7" t="s">
        <v>1181</v>
      </c>
      <c r="E950" s="7">
        <v>90752</v>
      </c>
      <c r="F950" s="7" t="str">
        <f>"070204158"</f>
        <v>070204158</v>
      </c>
      <c r="H950" s="7">
        <v>312</v>
      </c>
      <c r="I950" s="11">
        <v>0.47</v>
      </c>
    </row>
    <row r="951" spans="1:9">
      <c r="A951" s="7" t="s">
        <v>1162</v>
      </c>
      <c r="B951" s="7">
        <v>4235</v>
      </c>
      <c r="C951" s="7" t="str">
        <f t="shared" si="45"/>
        <v>070204000</v>
      </c>
      <c r="D951" s="7" t="s">
        <v>1182</v>
      </c>
      <c r="E951" s="7">
        <v>90303</v>
      </c>
      <c r="F951" s="7" t="str">
        <f>"070204264"</f>
        <v>070204264</v>
      </c>
      <c r="H951" s="7">
        <v>282</v>
      </c>
      <c r="I951" s="11">
        <v>0.28999999999999998</v>
      </c>
    </row>
    <row r="952" spans="1:9">
      <c r="A952" s="7" t="s">
        <v>1162</v>
      </c>
      <c r="B952" s="7">
        <v>4235</v>
      </c>
      <c r="C952" s="7" t="str">
        <f t="shared" si="45"/>
        <v>070204000</v>
      </c>
      <c r="D952" s="7" t="s">
        <v>1183</v>
      </c>
      <c r="E952" s="7">
        <v>4971</v>
      </c>
      <c r="F952" s="7" t="str">
        <f>"070204254"</f>
        <v>070204254</v>
      </c>
      <c r="H952" s="7">
        <v>930</v>
      </c>
      <c r="I952" s="11">
        <v>0.53</v>
      </c>
    </row>
    <row r="953" spans="1:9">
      <c r="A953" s="7" t="s">
        <v>1162</v>
      </c>
      <c r="B953" s="7">
        <v>4235</v>
      </c>
      <c r="C953" s="7" t="str">
        <f t="shared" si="45"/>
        <v>070204000</v>
      </c>
      <c r="D953" s="7" t="s">
        <v>1184</v>
      </c>
      <c r="E953" s="7">
        <v>79225</v>
      </c>
      <c r="F953" s="7" t="str">
        <f>"070204155"</f>
        <v>070204155</v>
      </c>
      <c r="H953" s="7">
        <v>442</v>
      </c>
      <c r="I953" s="11">
        <v>0.88</v>
      </c>
    </row>
    <row r="954" spans="1:9">
      <c r="A954" s="7" t="s">
        <v>1162</v>
      </c>
      <c r="B954" s="7">
        <v>4235</v>
      </c>
      <c r="C954" s="7" t="str">
        <f t="shared" si="45"/>
        <v>070204000</v>
      </c>
      <c r="D954" s="7" t="s">
        <v>1185</v>
      </c>
      <c r="E954" s="7">
        <v>4931</v>
      </c>
      <c r="F954" s="7" t="str">
        <f>"070204119"</f>
        <v>070204119</v>
      </c>
      <c r="H954" s="7">
        <v>493</v>
      </c>
      <c r="I954" s="11">
        <v>0.28000000000000003</v>
      </c>
    </row>
    <row r="955" spans="1:9">
      <c r="A955" s="7" t="s">
        <v>1162</v>
      </c>
      <c r="B955" s="7">
        <v>4235</v>
      </c>
      <c r="C955" s="7" t="str">
        <f t="shared" si="45"/>
        <v>070204000</v>
      </c>
      <c r="D955" s="7" t="s">
        <v>1186</v>
      </c>
      <c r="E955" s="7">
        <v>4955</v>
      </c>
      <c r="F955" s="7" t="str">
        <f>"070204143"</f>
        <v>070204143</v>
      </c>
      <c r="H955" s="7">
        <v>677</v>
      </c>
      <c r="I955" s="11">
        <v>0.26</v>
      </c>
    </row>
    <row r="956" spans="1:9">
      <c r="A956" s="7" t="s">
        <v>1162</v>
      </c>
      <c r="B956" s="7">
        <v>4235</v>
      </c>
      <c r="C956" s="7" t="str">
        <f t="shared" si="45"/>
        <v>070204000</v>
      </c>
      <c r="D956" s="7" t="s">
        <v>1187</v>
      </c>
      <c r="E956" s="7">
        <v>4944</v>
      </c>
      <c r="F956" s="7" t="str">
        <f>"070204132"</f>
        <v>070204132</v>
      </c>
      <c r="H956" s="7">
        <v>715</v>
      </c>
      <c r="I956" s="11">
        <v>0.47</v>
      </c>
    </row>
    <row r="957" spans="1:9">
      <c r="A957" s="7" t="s">
        <v>1162</v>
      </c>
      <c r="B957" s="7">
        <v>4235</v>
      </c>
      <c r="C957" s="7" t="str">
        <f t="shared" si="45"/>
        <v>070204000</v>
      </c>
      <c r="D957" s="7" t="s">
        <v>1188</v>
      </c>
      <c r="E957" s="7">
        <v>4919</v>
      </c>
      <c r="F957" s="7" t="str">
        <f>"070204107"</f>
        <v>070204107</v>
      </c>
      <c r="H957" s="7">
        <v>525</v>
      </c>
      <c r="I957" s="11">
        <v>0.88</v>
      </c>
    </row>
    <row r="958" spans="1:9">
      <c r="A958" s="7" t="s">
        <v>1162</v>
      </c>
      <c r="B958" s="7">
        <v>4235</v>
      </c>
      <c r="C958" s="7" t="str">
        <f t="shared" si="45"/>
        <v>070204000</v>
      </c>
      <c r="D958" s="7" t="s">
        <v>1189</v>
      </c>
      <c r="E958" s="7">
        <v>4920</v>
      </c>
      <c r="F958" s="7" t="str">
        <f>"070204108"</f>
        <v>070204108</v>
      </c>
      <c r="H958" s="7">
        <v>476</v>
      </c>
      <c r="I958" s="11">
        <v>0.66</v>
      </c>
    </row>
    <row r="959" spans="1:9">
      <c r="A959" s="7" t="s">
        <v>1162</v>
      </c>
      <c r="B959" s="7">
        <v>4235</v>
      </c>
      <c r="C959" s="7" t="str">
        <f t="shared" si="45"/>
        <v>070204000</v>
      </c>
      <c r="D959" s="7" t="s">
        <v>1190</v>
      </c>
      <c r="E959" s="7">
        <v>4952</v>
      </c>
      <c r="F959" s="7" t="str">
        <f>"070204140"</f>
        <v>070204140</v>
      </c>
      <c r="H959" s="7">
        <v>872</v>
      </c>
      <c r="I959" s="11">
        <v>0.28999999999999998</v>
      </c>
    </row>
    <row r="960" spans="1:9">
      <c r="A960" s="7" t="s">
        <v>1162</v>
      </c>
      <c r="B960" s="7">
        <v>4235</v>
      </c>
      <c r="C960" s="7" t="str">
        <f t="shared" si="45"/>
        <v>070204000</v>
      </c>
      <c r="D960" s="7" t="s">
        <v>1191</v>
      </c>
      <c r="E960" s="7">
        <v>4921</v>
      </c>
      <c r="F960" s="7" t="str">
        <f>"070204109"</f>
        <v>070204109</v>
      </c>
      <c r="H960" s="7">
        <v>590</v>
      </c>
      <c r="I960" s="11">
        <v>0.82</v>
      </c>
    </row>
    <row r="961" spans="1:9">
      <c r="A961" s="7" t="s">
        <v>1162</v>
      </c>
      <c r="B961" s="7">
        <v>4235</v>
      </c>
      <c r="C961" s="7" t="str">
        <f t="shared" si="45"/>
        <v>070204000</v>
      </c>
      <c r="D961" s="7" t="s">
        <v>1192</v>
      </c>
      <c r="E961" s="7">
        <v>4948</v>
      </c>
      <c r="F961" s="7" t="str">
        <f>"070204136"</f>
        <v>070204136</v>
      </c>
      <c r="H961" s="7">
        <v>627</v>
      </c>
      <c r="I961" s="11">
        <v>0.46</v>
      </c>
    </row>
    <row r="962" spans="1:9" ht="28.5">
      <c r="A962" s="7" t="s">
        <v>1162</v>
      </c>
      <c r="B962" s="7">
        <v>4235</v>
      </c>
      <c r="C962" s="7" t="str">
        <f t="shared" si="45"/>
        <v>070204000</v>
      </c>
      <c r="D962" s="7" t="s">
        <v>1193</v>
      </c>
      <c r="E962" s="7">
        <v>4960</v>
      </c>
      <c r="F962" s="7" t="str">
        <f>"070204148"</f>
        <v>070204148</v>
      </c>
      <c r="H962" s="7">
        <v>446</v>
      </c>
      <c r="I962" s="11">
        <v>0.28999999999999998</v>
      </c>
    </row>
    <row r="963" spans="1:9">
      <c r="A963" s="7" t="s">
        <v>1162</v>
      </c>
      <c r="B963" s="7">
        <v>4235</v>
      </c>
      <c r="C963" s="7" t="str">
        <f t="shared" si="45"/>
        <v>070204000</v>
      </c>
      <c r="D963" s="7" t="s">
        <v>1194</v>
      </c>
      <c r="E963" s="7">
        <v>4940</v>
      </c>
      <c r="F963" s="7" t="str">
        <f>"070204128"</f>
        <v>070204128</v>
      </c>
      <c r="H963" s="7">
        <v>578</v>
      </c>
      <c r="I963" s="11">
        <v>0.77</v>
      </c>
    </row>
    <row r="964" spans="1:9">
      <c r="A964" s="7" t="s">
        <v>1162</v>
      </c>
      <c r="B964" s="7">
        <v>4235</v>
      </c>
      <c r="C964" s="7" t="str">
        <f t="shared" si="45"/>
        <v>070204000</v>
      </c>
      <c r="D964" s="7" t="s">
        <v>1195</v>
      </c>
      <c r="E964" s="7">
        <v>4958</v>
      </c>
      <c r="F964" s="7" t="str">
        <f>"070204146"</f>
        <v>070204146</v>
      </c>
      <c r="H964" s="7">
        <v>512</v>
      </c>
      <c r="I964" s="11">
        <v>0.86</v>
      </c>
    </row>
    <row r="965" spans="1:9">
      <c r="A965" s="7" t="s">
        <v>1162</v>
      </c>
      <c r="B965" s="7">
        <v>4235</v>
      </c>
      <c r="C965" s="7" t="str">
        <f t="shared" si="45"/>
        <v>070204000</v>
      </c>
      <c r="D965" s="7" t="s">
        <v>1196</v>
      </c>
      <c r="E965" s="7">
        <v>4970</v>
      </c>
      <c r="F965" s="7" t="str">
        <f>"070204253"</f>
        <v>070204253</v>
      </c>
      <c r="H965" s="7">
        <v>835</v>
      </c>
      <c r="I965" s="11">
        <v>0.88</v>
      </c>
    </row>
    <row r="966" spans="1:9">
      <c r="A966" s="7" t="s">
        <v>1162</v>
      </c>
      <c r="B966" s="7">
        <v>4235</v>
      </c>
      <c r="C966" s="7" t="str">
        <f t="shared" si="45"/>
        <v>070204000</v>
      </c>
      <c r="D966" s="7" t="s">
        <v>1197</v>
      </c>
      <c r="E966" s="7">
        <v>4962</v>
      </c>
      <c r="F966" s="7" t="str">
        <f>"070204150"</f>
        <v>070204150</v>
      </c>
      <c r="H966" s="7">
        <v>711</v>
      </c>
      <c r="I966" s="11">
        <v>0.12</v>
      </c>
    </row>
    <row r="967" spans="1:9">
      <c r="A967" s="7" t="s">
        <v>1162</v>
      </c>
      <c r="B967" s="7">
        <v>4235</v>
      </c>
      <c r="C967" s="7" t="str">
        <f t="shared" si="45"/>
        <v>070204000</v>
      </c>
      <c r="D967" s="7" t="s">
        <v>1198</v>
      </c>
      <c r="E967" s="7">
        <v>4922</v>
      </c>
      <c r="F967" s="7" t="str">
        <f>"070204110"</f>
        <v>070204110</v>
      </c>
      <c r="H967" s="7">
        <v>402</v>
      </c>
      <c r="I967" s="11">
        <v>0.85</v>
      </c>
    </row>
    <row r="968" spans="1:9">
      <c r="A968" s="7" t="s">
        <v>1162</v>
      </c>
      <c r="B968" s="7">
        <v>4235</v>
      </c>
      <c r="C968" s="7" t="str">
        <f t="shared" si="45"/>
        <v>070204000</v>
      </c>
      <c r="D968" s="7" t="s">
        <v>1199</v>
      </c>
      <c r="E968" s="7">
        <v>4923</v>
      </c>
      <c r="F968" s="7" t="str">
        <f>"070204111"</f>
        <v>070204111</v>
      </c>
      <c r="H968" s="7">
        <v>616</v>
      </c>
      <c r="I968" s="11">
        <v>0.9</v>
      </c>
    </row>
    <row r="969" spans="1:9">
      <c r="A969" s="7" t="s">
        <v>1162</v>
      </c>
      <c r="B969" s="7">
        <v>4235</v>
      </c>
      <c r="C969" s="7" t="str">
        <f t="shared" si="45"/>
        <v>070204000</v>
      </c>
      <c r="D969" s="7" t="s">
        <v>1200</v>
      </c>
      <c r="E969" s="7">
        <v>4934</v>
      </c>
      <c r="F969" s="7" t="str">
        <f>"070204122"</f>
        <v>070204122</v>
      </c>
      <c r="H969" s="7">
        <v>534</v>
      </c>
      <c r="I969" s="11">
        <v>0.87</v>
      </c>
    </row>
    <row r="970" spans="1:9">
      <c r="A970" s="7" t="s">
        <v>1162</v>
      </c>
      <c r="B970" s="7">
        <v>4235</v>
      </c>
      <c r="C970" s="7" t="str">
        <f t="shared" si="45"/>
        <v>070204000</v>
      </c>
      <c r="D970" s="7" t="s">
        <v>1201</v>
      </c>
      <c r="E970" s="7">
        <v>4924</v>
      </c>
      <c r="F970" s="7" t="str">
        <f>"070204112"</f>
        <v>070204112</v>
      </c>
      <c r="H970" s="7">
        <v>476</v>
      </c>
      <c r="I970" s="11">
        <v>0.9</v>
      </c>
    </row>
    <row r="971" spans="1:9">
      <c r="A971" s="7" t="s">
        <v>1162</v>
      </c>
      <c r="B971" s="7">
        <v>4235</v>
      </c>
      <c r="C971" s="7" t="str">
        <f t="shared" si="45"/>
        <v>070204000</v>
      </c>
      <c r="D971" s="7" t="s">
        <v>1202</v>
      </c>
      <c r="E971" s="7">
        <v>4925</v>
      </c>
      <c r="F971" s="7" t="str">
        <f>"070204113"</f>
        <v>070204113</v>
      </c>
      <c r="H971" s="7">
        <v>461</v>
      </c>
      <c r="I971" s="11">
        <v>0.89</v>
      </c>
    </row>
    <row r="972" spans="1:9">
      <c r="A972" s="7" t="s">
        <v>1162</v>
      </c>
      <c r="B972" s="7">
        <v>4235</v>
      </c>
      <c r="C972" s="7" t="str">
        <f t="shared" si="45"/>
        <v>070204000</v>
      </c>
      <c r="D972" s="7" t="s">
        <v>1203</v>
      </c>
      <c r="E972" s="7">
        <v>4941</v>
      </c>
      <c r="F972" s="7" t="str">
        <f>"070204129"</f>
        <v>070204129</v>
      </c>
      <c r="H972" s="7">
        <v>580</v>
      </c>
      <c r="I972" s="11">
        <v>0.34</v>
      </c>
    </row>
    <row r="973" spans="1:9">
      <c r="A973" s="7" t="s">
        <v>1162</v>
      </c>
      <c r="B973" s="7">
        <v>4235</v>
      </c>
      <c r="C973" s="7" t="str">
        <f t="shared" si="45"/>
        <v>070204000</v>
      </c>
      <c r="D973" s="7" t="s">
        <v>1204</v>
      </c>
      <c r="E973" s="7">
        <v>4953</v>
      </c>
      <c r="F973" s="7" t="str">
        <f>"070204141"</f>
        <v>070204141</v>
      </c>
      <c r="H973" s="7">
        <v>375</v>
      </c>
      <c r="I973" s="11">
        <v>0.63</v>
      </c>
    </row>
    <row r="974" spans="1:9">
      <c r="A974" s="7" t="s">
        <v>1162</v>
      </c>
      <c r="B974" s="7">
        <v>4235</v>
      </c>
      <c r="C974" s="7" t="str">
        <f t="shared" si="45"/>
        <v>070204000</v>
      </c>
      <c r="D974" s="7" t="s">
        <v>1205</v>
      </c>
      <c r="E974" s="7">
        <v>4951</v>
      </c>
      <c r="F974" s="7" t="str">
        <f>"070204139"</f>
        <v>070204139</v>
      </c>
      <c r="H974" s="7">
        <v>440</v>
      </c>
      <c r="I974" s="11">
        <v>0.54</v>
      </c>
    </row>
    <row r="975" spans="1:9" ht="28.5">
      <c r="A975" s="7" t="s">
        <v>1162</v>
      </c>
      <c r="B975" s="7">
        <v>4235</v>
      </c>
      <c r="C975" s="7" t="str">
        <f t="shared" si="45"/>
        <v>070204000</v>
      </c>
      <c r="D975" s="7" t="s">
        <v>1206</v>
      </c>
      <c r="E975" s="7">
        <v>89593</v>
      </c>
      <c r="F975" s="7" t="str">
        <f>"070204192"</f>
        <v>070204192</v>
      </c>
      <c r="H975" s="7">
        <v>380</v>
      </c>
      <c r="I975" s="11">
        <v>0.22</v>
      </c>
    </row>
    <row r="976" spans="1:9" ht="42.75">
      <c r="A976" s="7" t="s">
        <v>1162</v>
      </c>
      <c r="B976" s="7">
        <v>4235</v>
      </c>
      <c r="C976" s="7" t="str">
        <f t="shared" si="45"/>
        <v>070204000</v>
      </c>
      <c r="D976" s="7" t="s">
        <v>1207</v>
      </c>
      <c r="E976" s="7">
        <v>1000294</v>
      </c>
      <c r="F976" s="7" t="str">
        <f>"070204161"</f>
        <v>070204161</v>
      </c>
      <c r="H976" s="7">
        <v>48</v>
      </c>
      <c r="I976" s="11">
        <v>0.75</v>
      </c>
    </row>
    <row r="977" spans="1:9">
      <c r="A977" s="7" t="s">
        <v>1162</v>
      </c>
      <c r="B977" s="7">
        <v>4235</v>
      </c>
      <c r="C977" s="7" t="str">
        <f t="shared" si="45"/>
        <v>070204000</v>
      </c>
      <c r="D977" s="7" t="s">
        <v>1208</v>
      </c>
      <c r="E977" s="7">
        <v>4980</v>
      </c>
      <c r="F977" s="7" t="str">
        <f>"070204271"</f>
        <v>070204271</v>
      </c>
      <c r="H977" s="7">
        <v>3570</v>
      </c>
      <c r="I977" s="11">
        <v>0.69</v>
      </c>
    </row>
    <row r="978" spans="1:9" ht="28.5">
      <c r="A978" s="7" t="s">
        <v>1162</v>
      </c>
      <c r="B978" s="7">
        <v>4235</v>
      </c>
      <c r="C978" s="7" t="str">
        <f t="shared" si="45"/>
        <v>070204000</v>
      </c>
      <c r="D978" s="7" t="s">
        <v>1209</v>
      </c>
      <c r="E978" s="7">
        <v>4918</v>
      </c>
      <c r="F978" s="7" t="str">
        <f>"070204106"</f>
        <v>070204106</v>
      </c>
      <c r="H978" s="7">
        <v>535</v>
      </c>
      <c r="I978" s="11">
        <v>0.78</v>
      </c>
    </row>
    <row r="979" spans="1:9">
      <c r="A979" s="7" t="s">
        <v>1162</v>
      </c>
      <c r="B979" s="7">
        <v>4235</v>
      </c>
      <c r="C979" s="7" t="str">
        <f t="shared" si="45"/>
        <v>070204000</v>
      </c>
      <c r="D979" s="7" t="s">
        <v>1122</v>
      </c>
      <c r="E979" s="7">
        <v>4982</v>
      </c>
      <c r="F979" s="7" t="str">
        <f>"070204273"</f>
        <v>070204273</v>
      </c>
      <c r="H979" s="7">
        <v>3428</v>
      </c>
      <c r="I979" s="11">
        <v>0.37</v>
      </c>
    </row>
    <row r="980" spans="1:9">
      <c r="A980" s="7" t="s">
        <v>1162</v>
      </c>
      <c r="B980" s="7">
        <v>4235</v>
      </c>
      <c r="C980" s="7" t="str">
        <f t="shared" si="45"/>
        <v>070204000</v>
      </c>
      <c r="D980" s="7" t="s">
        <v>1210</v>
      </c>
      <c r="E980" s="7">
        <v>4949</v>
      </c>
      <c r="F980" s="7" t="str">
        <f>"070204137"</f>
        <v>070204137</v>
      </c>
      <c r="H980" s="7">
        <v>425</v>
      </c>
      <c r="I980" s="11">
        <v>0.56999999999999995</v>
      </c>
    </row>
    <row r="981" spans="1:9">
      <c r="A981" s="7" t="s">
        <v>1162</v>
      </c>
      <c r="B981" s="7">
        <v>4235</v>
      </c>
      <c r="C981" s="7" t="str">
        <f t="shared" si="45"/>
        <v>070204000</v>
      </c>
      <c r="D981" s="7" t="s">
        <v>1211</v>
      </c>
      <c r="E981" s="7">
        <v>78938</v>
      </c>
      <c r="F981" s="7" t="str">
        <f>"070204153"</f>
        <v>070204153</v>
      </c>
      <c r="H981" s="7">
        <v>770</v>
      </c>
      <c r="I981" s="11">
        <v>0.56999999999999995</v>
      </c>
    </row>
    <row r="982" spans="1:9">
      <c r="A982" s="7" t="s">
        <v>1162</v>
      </c>
      <c r="B982" s="7">
        <v>4235</v>
      </c>
      <c r="C982" s="7" t="str">
        <f t="shared" si="45"/>
        <v>070204000</v>
      </c>
      <c r="D982" s="7" t="s">
        <v>1212</v>
      </c>
      <c r="E982" s="7">
        <v>4943</v>
      </c>
      <c r="F982" s="7" t="str">
        <f>"070204131"</f>
        <v>070204131</v>
      </c>
      <c r="H982" s="7">
        <v>594</v>
      </c>
      <c r="I982" s="11">
        <v>0.62</v>
      </c>
    </row>
    <row r="983" spans="1:9">
      <c r="A983" s="7" t="s">
        <v>1162</v>
      </c>
      <c r="B983" s="7">
        <v>4235</v>
      </c>
      <c r="C983" s="7" t="str">
        <f t="shared" si="45"/>
        <v>070204000</v>
      </c>
      <c r="D983" s="7" t="s">
        <v>1213</v>
      </c>
      <c r="E983" s="7">
        <v>4957</v>
      </c>
      <c r="F983" s="7" t="str">
        <f>"070204145"</f>
        <v>070204145</v>
      </c>
      <c r="H983" s="7">
        <v>459</v>
      </c>
      <c r="I983" s="11">
        <v>0.68</v>
      </c>
    </row>
    <row r="984" spans="1:9">
      <c r="A984" s="7" t="s">
        <v>1162</v>
      </c>
      <c r="B984" s="7">
        <v>4235</v>
      </c>
      <c r="C984" s="7" t="str">
        <f t="shared" si="45"/>
        <v>070204000</v>
      </c>
      <c r="D984" s="7" t="s">
        <v>1214</v>
      </c>
      <c r="E984" s="7">
        <v>4973</v>
      </c>
      <c r="F984" s="7" t="str">
        <f>"070204256"</f>
        <v>070204256</v>
      </c>
      <c r="H984" s="7">
        <v>782</v>
      </c>
      <c r="I984" s="11">
        <v>0.64</v>
      </c>
    </row>
    <row r="985" spans="1:9">
      <c r="A985" s="7" t="s">
        <v>1162</v>
      </c>
      <c r="B985" s="7">
        <v>4235</v>
      </c>
      <c r="C985" s="7" t="str">
        <f t="shared" si="45"/>
        <v>070204000</v>
      </c>
      <c r="D985" s="7" t="s">
        <v>1215</v>
      </c>
      <c r="E985" s="7">
        <v>4984</v>
      </c>
      <c r="F985" s="7" t="str">
        <f>"070204275"</f>
        <v>070204275</v>
      </c>
      <c r="H985" s="7">
        <v>3478</v>
      </c>
      <c r="I985" s="11">
        <v>0.34</v>
      </c>
    </row>
    <row r="986" spans="1:9">
      <c r="A986" s="7" t="s">
        <v>1162</v>
      </c>
      <c r="B986" s="7">
        <v>4235</v>
      </c>
      <c r="C986" s="7" t="str">
        <f t="shared" si="45"/>
        <v>070204000</v>
      </c>
      <c r="D986" s="7" t="s">
        <v>1216</v>
      </c>
      <c r="E986" s="7">
        <v>4935</v>
      </c>
      <c r="F986" s="7" t="str">
        <f>"070204123"</f>
        <v>070204123</v>
      </c>
      <c r="H986" s="7">
        <v>490</v>
      </c>
      <c r="I986" s="11">
        <v>0.85</v>
      </c>
    </row>
    <row r="987" spans="1:9">
      <c r="A987" s="7" t="s">
        <v>1162</v>
      </c>
      <c r="B987" s="7">
        <v>4235</v>
      </c>
      <c r="C987" s="7" t="str">
        <f t="shared" si="45"/>
        <v>070204000</v>
      </c>
      <c r="D987" s="7" t="s">
        <v>1217</v>
      </c>
      <c r="E987" s="7">
        <v>4974</v>
      </c>
      <c r="F987" s="7" t="str">
        <f>"070204257"</f>
        <v>070204257</v>
      </c>
      <c r="H987" s="7">
        <v>666</v>
      </c>
      <c r="I987" s="11">
        <v>0.81</v>
      </c>
    </row>
    <row r="988" spans="1:9">
      <c r="A988" s="7" t="s">
        <v>1162</v>
      </c>
      <c r="B988" s="7">
        <v>4235</v>
      </c>
      <c r="C988" s="7" t="str">
        <f t="shared" si="45"/>
        <v>070204000</v>
      </c>
      <c r="D988" s="7" t="s">
        <v>1218</v>
      </c>
      <c r="E988" s="7">
        <v>4946</v>
      </c>
      <c r="F988" s="7" t="str">
        <f>"070204134"</f>
        <v>070204134</v>
      </c>
      <c r="H988" s="7">
        <v>451</v>
      </c>
      <c r="I988" s="11">
        <v>0.81</v>
      </c>
    </row>
    <row r="989" spans="1:9">
      <c r="A989" s="7" t="s">
        <v>1162</v>
      </c>
      <c r="B989" s="7">
        <v>4235</v>
      </c>
      <c r="C989" s="7" t="str">
        <f t="shared" si="45"/>
        <v>070204000</v>
      </c>
      <c r="D989" s="7" t="s">
        <v>1219</v>
      </c>
      <c r="E989" s="7">
        <v>4933</v>
      </c>
      <c r="F989" s="7" t="str">
        <f>"070204121"</f>
        <v>070204121</v>
      </c>
      <c r="H989" s="7">
        <v>511</v>
      </c>
      <c r="I989" s="11">
        <v>0.81</v>
      </c>
    </row>
    <row r="990" spans="1:9">
      <c r="A990" s="7" t="s">
        <v>1162</v>
      </c>
      <c r="B990" s="7">
        <v>4235</v>
      </c>
      <c r="C990" s="7" t="str">
        <f t="shared" si="45"/>
        <v>070204000</v>
      </c>
      <c r="D990" s="7" t="s">
        <v>1220</v>
      </c>
      <c r="E990" s="7">
        <v>4965</v>
      </c>
      <c r="F990" s="7" t="str">
        <f>"070204183"</f>
        <v>070204183</v>
      </c>
      <c r="H990" s="7">
        <v>60</v>
      </c>
      <c r="I990" s="11">
        <v>0.75</v>
      </c>
    </row>
    <row r="991" spans="1:9">
      <c r="A991" s="7" t="s">
        <v>1162</v>
      </c>
      <c r="B991" s="7">
        <v>4235</v>
      </c>
      <c r="C991" s="7" t="str">
        <f t="shared" si="45"/>
        <v>070204000</v>
      </c>
      <c r="D991" s="7" t="s">
        <v>1221</v>
      </c>
      <c r="E991" s="7">
        <v>4936</v>
      </c>
      <c r="F991" s="7" t="str">
        <f>"070204124"</f>
        <v>070204124</v>
      </c>
      <c r="H991" s="7">
        <v>550</v>
      </c>
      <c r="I991" s="11">
        <v>0.76</v>
      </c>
    </row>
    <row r="992" spans="1:9">
      <c r="A992" s="7" t="s">
        <v>1162</v>
      </c>
      <c r="B992" s="7">
        <v>4235</v>
      </c>
      <c r="C992" s="7" t="str">
        <f t="shared" si="45"/>
        <v>070204000</v>
      </c>
      <c r="D992" s="7" t="s">
        <v>1222</v>
      </c>
      <c r="E992" s="7">
        <v>4977</v>
      </c>
      <c r="F992" s="7" t="str">
        <f>"070204260"</f>
        <v>070204260</v>
      </c>
      <c r="H992" s="7">
        <v>655</v>
      </c>
      <c r="I992" s="11">
        <v>0.44</v>
      </c>
    </row>
    <row r="993" spans="1:9">
      <c r="A993" s="7" t="s">
        <v>1162</v>
      </c>
      <c r="B993" s="7">
        <v>4235</v>
      </c>
      <c r="C993" s="7" t="str">
        <f t="shared" si="45"/>
        <v>070204000</v>
      </c>
      <c r="D993" s="7" t="s">
        <v>1223</v>
      </c>
      <c r="E993" s="7">
        <v>4947</v>
      </c>
      <c r="F993" s="7" t="str">
        <f>"070204135"</f>
        <v>070204135</v>
      </c>
      <c r="H993" s="7">
        <v>301</v>
      </c>
      <c r="I993" s="11">
        <v>0.3</v>
      </c>
    </row>
    <row r="994" spans="1:9">
      <c r="A994" s="7" t="s">
        <v>1162</v>
      </c>
      <c r="B994" s="7">
        <v>4235</v>
      </c>
      <c r="C994" s="7" t="str">
        <f t="shared" si="45"/>
        <v>070204000</v>
      </c>
      <c r="D994" s="7" t="s">
        <v>1224</v>
      </c>
      <c r="E994" s="7">
        <v>78917</v>
      </c>
      <c r="F994" s="7" t="str">
        <f>"070204276"</f>
        <v>070204276</v>
      </c>
      <c r="H994" s="7">
        <v>2135</v>
      </c>
      <c r="I994" s="11">
        <v>0.62</v>
      </c>
    </row>
    <row r="995" spans="1:9">
      <c r="A995" s="7" t="s">
        <v>1162</v>
      </c>
      <c r="B995" s="7">
        <v>4235</v>
      </c>
      <c r="C995" s="7" t="str">
        <f t="shared" si="45"/>
        <v>070204000</v>
      </c>
      <c r="D995" s="7" t="s">
        <v>1225</v>
      </c>
      <c r="E995" s="7">
        <v>79489</v>
      </c>
      <c r="F995" s="7" t="str">
        <f>"070204263"</f>
        <v>070204263</v>
      </c>
      <c r="H995" s="7">
        <v>760</v>
      </c>
      <c r="I995" s="11">
        <v>0.65</v>
      </c>
    </row>
    <row r="996" spans="1:9">
      <c r="A996" s="7" t="s">
        <v>1162</v>
      </c>
      <c r="B996" s="7">
        <v>4235</v>
      </c>
      <c r="C996" s="7" t="str">
        <f t="shared" ref="C996:C1009" si="46">"070204000"</f>
        <v>070204000</v>
      </c>
      <c r="D996" s="7" t="s">
        <v>1226</v>
      </c>
      <c r="E996" s="7">
        <v>4954</v>
      </c>
      <c r="F996" s="7" t="str">
        <f>"070204142"</f>
        <v>070204142</v>
      </c>
      <c r="H996" s="7">
        <v>378</v>
      </c>
      <c r="I996" s="11">
        <v>0.65</v>
      </c>
    </row>
    <row r="997" spans="1:9">
      <c r="A997" s="7" t="s">
        <v>1162</v>
      </c>
      <c r="B997" s="7">
        <v>4235</v>
      </c>
      <c r="C997" s="7" t="str">
        <f t="shared" si="46"/>
        <v>070204000</v>
      </c>
      <c r="D997" s="7" t="s">
        <v>1227</v>
      </c>
      <c r="E997" s="7">
        <v>4979</v>
      </c>
      <c r="F997" s="7" t="str">
        <f>"070204262"</f>
        <v>070204262</v>
      </c>
      <c r="H997" s="7">
        <v>949</v>
      </c>
      <c r="I997" s="11">
        <v>0.33</v>
      </c>
    </row>
    <row r="998" spans="1:9">
      <c r="A998" s="7" t="s">
        <v>1162</v>
      </c>
      <c r="B998" s="7">
        <v>4235</v>
      </c>
      <c r="C998" s="7" t="str">
        <f t="shared" si="46"/>
        <v>070204000</v>
      </c>
      <c r="D998" s="7" t="s">
        <v>549</v>
      </c>
      <c r="E998" s="7">
        <v>4939</v>
      </c>
      <c r="F998" s="7" t="str">
        <f>"070204127"</f>
        <v>070204127</v>
      </c>
      <c r="H998" s="7">
        <v>726</v>
      </c>
      <c r="I998" s="11">
        <v>0.82</v>
      </c>
    </row>
    <row r="999" spans="1:9">
      <c r="A999" s="7" t="s">
        <v>1162</v>
      </c>
      <c r="B999" s="7">
        <v>4235</v>
      </c>
      <c r="C999" s="7" t="str">
        <f t="shared" si="46"/>
        <v>070204000</v>
      </c>
      <c r="D999" s="7" t="s">
        <v>1228</v>
      </c>
      <c r="E999" s="7">
        <v>90753</v>
      </c>
      <c r="F999" s="7" t="str">
        <f>"070204193"</f>
        <v>070204193</v>
      </c>
      <c r="H999" s="7">
        <v>1209</v>
      </c>
      <c r="I999" s="11">
        <v>0.49</v>
      </c>
    </row>
    <row r="1000" spans="1:9">
      <c r="A1000" s="7" t="s">
        <v>1162</v>
      </c>
      <c r="B1000" s="7">
        <v>4235</v>
      </c>
      <c r="C1000" s="7" t="str">
        <f t="shared" si="46"/>
        <v>070204000</v>
      </c>
      <c r="D1000" s="7" t="s">
        <v>1229</v>
      </c>
      <c r="E1000" s="7">
        <v>78933</v>
      </c>
      <c r="F1000" s="7" t="str">
        <f>"070204280"</f>
        <v>070204280</v>
      </c>
      <c r="H1000" s="7">
        <v>81</v>
      </c>
      <c r="I1000" s="11">
        <v>0.81</v>
      </c>
    </row>
    <row r="1001" spans="1:9">
      <c r="A1001" s="7" t="s">
        <v>1162</v>
      </c>
      <c r="B1001" s="7">
        <v>4235</v>
      </c>
      <c r="C1001" s="7" t="str">
        <f t="shared" si="46"/>
        <v>070204000</v>
      </c>
      <c r="D1001" s="7" t="s">
        <v>1230</v>
      </c>
      <c r="E1001" s="7">
        <v>4930</v>
      </c>
      <c r="F1001" s="7" t="str">
        <f>"070204118"</f>
        <v>070204118</v>
      </c>
      <c r="H1001" s="7">
        <v>525</v>
      </c>
      <c r="I1001" s="11">
        <v>0.77</v>
      </c>
    </row>
    <row r="1002" spans="1:9">
      <c r="A1002" s="7" t="s">
        <v>1162</v>
      </c>
      <c r="B1002" s="7">
        <v>4235</v>
      </c>
      <c r="C1002" s="7" t="str">
        <f t="shared" si="46"/>
        <v>070204000</v>
      </c>
      <c r="D1002" s="7" t="s">
        <v>1231</v>
      </c>
      <c r="E1002" s="7">
        <v>4975</v>
      </c>
      <c r="F1002" s="7" t="str">
        <f>"070204258"</f>
        <v>070204258</v>
      </c>
      <c r="H1002" s="7">
        <v>871</v>
      </c>
      <c r="I1002" s="11">
        <v>0.74</v>
      </c>
    </row>
    <row r="1003" spans="1:9">
      <c r="A1003" s="7" t="s">
        <v>1162</v>
      </c>
      <c r="B1003" s="7">
        <v>4235</v>
      </c>
      <c r="C1003" s="7" t="str">
        <f t="shared" si="46"/>
        <v>070204000</v>
      </c>
      <c r="D1003" s="7" t="s">
        <v>1232</v>
      </c>
      <c r="E1003" s="7">
        <v>4938</v>
      </c>
      <c r="F1003" s="7" t="str">
        <f>"070204126"</f>
        <v>070204126</v>
      </c>
      <c r="H1003" s="7">
        <v>478</v>
      </c>
      <c r="I1003" s="11">
        <v>0.62</v>
      </c>
    </row>
    <row r="1004" spans="1:9">
      <c r="A1004" s="7" t="s">
        <v>1162</v>
      </c>
      <c r="B1004" s="7">
        <v>4235</v>
      </c>
      <c r="C1004" s="7" t="str">
        <f t="shared" si="46"/>
        <v>070204000</v>
      </c>
      <c r="D1004" s="7" t="s">
        <v>1233</v>
      </c>
      <c r="E1004" s="7">
        <v>4927</v>
      </c>
      <c r="F1004" s="7" t="str">
        <f>"070204115"</f>
        <v>070204115</v>
      </c>
      <c r="H1004" s="7">
        <v>613</v>
      </c>
      <c r="I1004" s="11">
        <v>0.88</v>
      </c>
    </row>
    <row r="1005" spans="1:9">
      <c r="A1005" s="7" t="s">
        <v>1162</v>
      </c>
      <c r="B1005" s="7">
        <v>4235</v>
      </c>
      <c r="C1005" s="7" t="str">
        <f t="shared" si="46"/>
        <v>070204000</v>
      </c>
      <c r="D1005" s="7" t="s">
        <v>1234</v>
      </c>
      <c r="E1005" s="7">
        <v>4981</v>
      </c>
      <c r="F1005" s="7" t="str">
        <f>"070204272"</f>
        <v>070204272</v>
      </c>
      <c r="H1005" s="7">
        <v>3412</v>
      </c>
      <c r="I1005" s="11">
        <v>0.7</v>
      </c>
    </row>
    <row r="1006" spans="1:9">
      <c r="A1006" s="7" t="s">
        <v>1162</v>
      </c>
      <c r="B1006" s="7">
        <v>4235</v>
      </c>
      <c r="C1006" s="7" t="str">
        <f t="shared" si="46"/>
        <v>070204000</v>
      </c>
      <c r="D1006" s="7" t="s">
        <v>1235</v>
      </c>
      <c r="E1006" s="7">
        <v>4929</v>
      </c>
      <c r="F1006" s="7" t="str">
        <f>"070204117"</f>
        <v>070204117</v>
      </c>
      <c r="H1006" s="7">
        <v>578</v>
      </c>
      <c r="I1006" s="11">
        <v>0.82</v>
      </c>
    </row>
    <row r="1007" spans="1:9">
      <c r="A1007" s="7" t="s">
        <v>1162</v>
      </c>
      <c r="B1007" s="7">
        <v>4235</v>
      </c>
      <c r="C1007" s="7" t="str">
        <f t="shared" si="46"/>
        <v>070204000</v>
      </c>
      <c r="D1007" s="7" t="s">
        <v>1236</v>
      </c>
      <c r="E1007" s="7">
        <v>4928</v>
      </c>
      <c r="F1007" s="7" t="str">
        <f>"070204116"</f>
        <v>070204116</v>
      </c>
      <c r="H1007" s="7">
        <v>486</v>
      </c>
      <c r="I1007" s="11">
        <v>0.76</v>
      </c>
    </row>
    <row r="1008" spans="1:9">
      <c r="A1008" s="7" t="s">
        <v>1162</v>
      </c>
      <c r="B1008" s="7">
        <v>4235</v>
      </c>
      <c r="C1008" s="7" t="str">
        <f t="shared" si="46"/>
        <v>070204000</v>
      </c>
      <c r="D1008" s="7" t="s">
        <v>1237</v>
      </c>
      <c r="E1008" s="7">
        <v>6229</v>
      </c>
      <c r="F1008" s="7" t="str">
        <f>"070204151"</f>
        <v>070204151</v>
      </c>
      <c r="H1008" s="7">
        <v>480</v>
      </c>
      <c r="I1008" s="11">
        <v>0.65</v>
      </c>
    </row>
    <row r="1009" spans="1:9">
      <c r="A1009" s="7" t="s">
        <v>1162</v>
      </c>
      <c r="B1009" s="7">
        <v>4235</v>
      </c>
      <c r="C1009" s="7" t="str">
        <f t="shared" si="46"/>
        <v>070204000</v>
      </c>
      <c r="D1009" s="7" t="s">
        <v>1238</v>
      </c>
      <c r="E1009" s="7">
        <v>79807</v>
      </c>
      <c r="F1009" s="7" t="str">
        <f>"070204157"</f>
        <v>070204157</v>
      </c>
      <c r="H1009" s="7">
        <v>732</v>
      </c>
      <c r="I1009" s="11">
        <v>0.23</v>
      </c>
    </row>
    <row r="1010" spans="1:9">
      <c r="A1010" s="7" t="s">
        <v>1239</v>
      </c>
      <c r="B1010" s="7">
        <v>4463</v>
      </c>
      <c r="C1010" s="7" t="str">
        <f>"128703000"</f>
        <v>128703000</v>
      </c>
      <c r="D1010" s="7" t="s">
        <v>1240</v>
      </c>
      <c r="E1010" s="7">
        <v>92176</v>
      </c>
      <c r="F1010" s="7" t="str">
        <f>"128703002"</f>
        <v>128703002</v>
      </c>
      <c r="H1010" s="7">
        <v>39</v>
      </c>
      <c r="I1010" s="11">
        <v>0.85</v>
      </c>
    </row>
    <row r="1011" spans="1:9">
      <c r="A1011" s="7" t="s">
        <v>1239</v>
      </c>
      <c r="B1011" s="7">
        <v>4463</v>
      </c>
      <c r="C1011" s="7" t="str">
        <f>"128703000"</f>
        <v>128703000</v>
      </c>
      <c r="D1011" s="7" t="s">
        <v>1241</v>
      </c>
      <c r="E1011" s="7">
        <v>5972</v>
      </c>
      <c r="F1011" s="7" t="str">
        <f>"128703001"</f>
        <v>128703001</v>
      </c>
      <c r="H1011" s="7">
        <v>165</v>
      </c>
      <c r="I1011" s="11">
        <v>0.93</v>
      </c>
    </row>
    <row r="1012" spans="1:9" ht="28.5">
      <c r="A1012" s="7" t="s">
        <v>1242</v>
      </c>
      <c r="B1012" s="7">
        <v>4211</v>
      </c>
      <c r="C1012" s="7" t="str">
        <f>"040240000"</f>
        <v>040240000</v>
      </c>
      <c r="D1012" s="7" t="s">
        <v>1243</v>
      </c>
      <c r="E1012" s="7">
        <v>81122</v>
      </c>
      <c r="F1012" s="7" t="str">
        <f>"040240108"</f>
        <v>040240108</v>
      </c>
      <c r="H1012" s="7">
        <v>206</v>
      </c>
      <c r="I1012" s="11">
        <v>0.76</v>
      </c>
    </row>
    <row r="1013" spans="1:9">
      <c r="A1013" s="7" t="s">
        <v>1242</v>
      </c>
      <c r="B1013" s="7">
        <v>4211</v>
      </c>
      <c r="C1013" s="7" t="str">
        <f>"040240000"</f>
        <v>040240000</v>
      </c>
      <c r="D1013" s="7" t="s">
        <v>1244</v>
      </c>
      <c r="E1013" s="7">
        <v>4868</v>
      </c>
      <c r="F1013" s="7" t="str">
        <f>"040240105"</f>
        <v>040240105</v>
      </c>
      <c r="H1013" s="7">
        <v>267</v>
      </c>
      <c r="I1013" s="11">
        <v>0.69</v>
      </c>
    </row>
    <row r="1014" spans="1:9">
      <c r="A1014" s="7" t="s">
        <v>1242</v>
      </c>
      <c r="B1014" s="7">
        <v>4211</v>
      </c>
      <c r="C1014" s="7" t="str">
        <f>"040240000"</f>
        <v>040240000</v>
      </c>
      <c r="D1014" s="7" t="s">
        <v>1245</v>
      </c>
      <c r="E1014" s="7">
        <v>4869</v>
      </c>
      <c r="F1014" s="7" t="str">
        <f>"040240206"</f>
        <v>040240206</v>
      </c>
      <c r="H1014" s="7">
        <v>425</v>
      </c>
      <c r="I1014" s="11">
        <v>0.6</v>
      </c>
    </row>
    <row r="1015" spans="1:9" ht="28.5">
      <c r="A1015" s="7" t="s">
        <v>1246</v>
      </c>
      <c r="B1015" s="7">
        <v>79994</v>
      </c>
      <c r="C1015" s="7" t="str">
        <f>"078976000"</f>
        <v>078976000</v>
      </c>
      <c r="D1015" s="7" t="s">
        <v>1246</v>
      </c>
      <c r="E1015" s="7">
        <v>5526</v>
      </c>
      <c r="F1015" s="7" t="str">
        <f>"078976101"</f>
        <v>078976101</v>
      </c>
      <c r="G1015" s="7" t="s">
        <v>16</v>
      </c>
      <c r="H1015" s="7">
        <v>107</v>
      </c>
      <c r="I1015" s="11" t="s">
        <v>17</v>
      </c>
    </row>
    <row r="1016" spans="1:9">
      <c r="A1016" s="7" t="s">
        <v>1247</v>
      </c>
      <c r="B1016" s="7">
        <v>90048</v>
      </c>
      <c r="C1016" s="7" t="str">
        <f>"132116000"</f>
        <v>132116000</v>
      </c>
      <c r="D1016" s="7" t="s">
        <v>1248</v>
      </c>
      <c r="E1016" s="7">
        <v>1001163</v>
      </c>
      <c r="F1016" s="7" t="str">
        <f>"132116004"</f>
        <v>132116004</v>
      </c>
      <c r="H1016" s="7">
        <v>31</v>
      </c>
      <c r="I1016" s="11" t="s">
        <v>17</v>
      </c>
    </row>
    <row r="1017" spans="1:9" ht="28.5">
      <c r="A1017" s="7" t="s">
        <v>1247</v>
      </c>
      <c r="B1017" s="7">
        <v>90048</v>
      </c>
      <c r="C1017" s="7" t="str">
        <f>"132116000"</f>
        <v>132116000</v>
      </c>
      <c r="D1017" s="7" t="s">
        <v>1249</v>
      </c>
      <c r="E1017" s="7">
        <v>90049</v>
      </c>
      <c r="F1017" s="7" t="str">
        <f>"132116001"</f>
        <v>132116001</v>
      </c>
      <c r="H1017" s="7">
        <v>88</v>
      </c>
      <c r="I1017" s="11" t="s">
        <v>17</v>
      </c>
    </row>
    <row r="1018" spans="1:9">
      <c r="A1018" s="7" t="s">
        <v>1250</v>
      </c>
      <c r="B1018" s="7">
        <v>4493</v>
      </c>
      <c r="C1018" s="7" t="str">
        <f>"138712000"</f>
        <v>138712000</v>
      </c>
      <c r="D1018" s="7" t="s">
        <v>1250</v>
      </c>
      <c r="E1018" s="7">
        <v>6133</v>
      </c>
      <c r="F1018" s="7" t="str">
        <f>"138712101"</f>
        <v>138712101</v>
      </c>
      <c r="H1018" s="7">
        <v>147</v>
      </c>
      <c r="I1018" s="11">
        <v>0.53</v>
      </c>
    </row>
    <row r="1019" spans="1:9">
      <c r="A1019" s="7" t="s">
        <v>1251</v>
      </c>
      <c r="B1019" s="7">
        <v>4488</v>
      </c>
      <c r="C1019" s="7" t="str">
        <f>"130504000"</f>
        <v>130504000</v>
      </c>
      <c r="D1019" s="7" t="s">
        <v>1252</v>
      </c>
      <c r="E1019" s="7">
        <v>6127</v>
      </c>
      <c r="F1019" s="7" t="str">
        <f>"130504201"</f>
        <v>130504201</v>
      </c>
      <c r="H1019" s="7">
        <v>1220</v>
      </c>
      <c r="I1019" s="11">
        <v>0.55000000000000004</v>
      </c>
    </row>
    <row r="1020" spans="1:9" ht="28.5">
      <c r="A1020" s="7" t="s">
        <v>1253</v>
      </c>
      <c r="B1020" s="7">
        <v>4253</v>
      </c>
      <c r="C1020" s="7" t="str">
        <f>"070386000"</f>
        <v>070386000</v>
      </c>
      <c r="D1020" s="7" t="s">
        <v>1254</v>
      </c>
      <c r="E1020" s="7">
        <v>5191</v>
      </c>
      <c r="F1020" s="7" t="str">
        <f>"070386101"</f>
        <v>070386101</v>
      </c>
      <c r="G1020" s="7" t="s">
        <v>16</v>
      </c>
      <c r="H1020" s="7">
        <v>37</v>
      </c>
      <c r="I1020" s="11">
        <v>0.92</v>
      </c>
    </row>
    <row r="1021" spans="1:9" ht="28.5">
      <c r="A1021" s="7" t="s">
        <v>1255</v>
      </c>
      <c r="B1021" s="7">
        <v>88455</v>
      </c>
      <c r="C1021" s="7" t="str">
        <f>"099108000"</f>
        <v>099108000</v>
      </c>
      <c r="D1021" s="7" t="s">
        <v>1255</v>
      </c>
      <c r="E1021" s="7">
        <v>80099</v>
      </c>
      <c r="F1021" s="7" t="str">
        <f>"093906007"</f>
        <v>093906007</v>
      </c>
      <c r="G1021" s="7" t="s">
        <v>16</v>
      </c>
      <c r="H1021" s="7">
        <v>93</v>
      </c>
      <c r="I1021" s="11" t="s">
        <v>17</v>
      </c>
    </row>
    <row r="1022" spans="1:9" ht="28.5">
      <c r="A1022" s="7" t="s">
        <v>1256</v>
      </c>
      <c r="B1022" s="7">
        <v>79498</v>
      </c>
      <c r="C1022" s="7" t="str">
        <f>"088758000"</f>
        <v>088758000</v>
      </c>
      <c r="D1022" s="7" t="s">
        <v>1257</v>
      </c>
      <c r="E1022" s="7">
        <v>85517</v>
      </c>
      <c r="F1022" s="7" t="str">
        <f>"088703101"</f>
        <v>088703101</v>
      </c>
      <c r="H1022" s="7">
        <v>414</v>
      </c>
      <c r="I1022" s="11">
        <v>0.66</v>
      </c>
    </row>
    <row r="1023" spans="1:9" ht="28.5">
      <c r="A1023" s="7" t="s">
        <v>1256</v>
      </c>
      <c r="B1023" s="7">
        <v>79498</v>
      </c>
      <c r="C1023" s="7" t="str">
        <f>"088758000"</f>
        <v>088758000</v>
      </c>
      <c r="D1023" s="7" t="s">
        <v>1258</v>
      </c>
      <c r="E1023" s="7">
        <v>90194</v>
      </c>
      <c r="F1023" s="7" t="str">
        <f>"088703102"</f>
        <v>088703102</v>
      </c>
      <c r="H1023" s="7">
        <v>123</v>
      </c>
      <c r="I1023" s="11">
        <v>0.67</v>
      </c>
    </row>
    <row r="1024" spans="1:9" ht="28.5">
      <c r="A1024" s="7" t="s">
        <v>1256</v>
      </c>
      <c r="B1024" s="7">
        <v>79498</v>
      </c>
      <c r="C1024" s="7" t="str">
        <f>"088758000"</f>
        <v>088758000</v>
      </c>
      <c r="D1024" s="7" t="s">
        <v>1256</v>
      </c>
      <c r="E1024" s="7">
        <v>79510</v>
      </c>
      <c r="F1024" s="7" t="str">
        <f>"088758001"</f>
        <v>088758001</v>
      </c>
      <c r="H1024" s="7">
        <v>525</v>
      </c>
      <c r="I1024" s="11">
        <v>0.64</v>
      </c>
    </row>
    <row r="1025" spans="1:9">
      <c r="A1025" s="7" t="s">
        <v>1259</v>
      </c>
      <c r="B1025" s="7">
        <v>4379</v>
      </c>
      <c r="C1025" s="7" t="str">
        <f>"080416000"</f>
        <v>080416000</v>
      </c>
      <c r="D1025" s="7" t="s">
        <v>1260</v>
      </c>
      <c r="E1025" s="7">
        <v>6049</v>
      </c>
      <c r="F1025" s="7" t="str">
        <f>"080416105"</f>
        <v>080416105</v>
      </c>
      <c r="H1025" s="7">
        <v>348</v>
      </c>
      <c r="I1025" s="11">
        <v>0.76</v>
      </c>
    </row>
    <row r="1026" spans="1:9">
      <c r="A1026" s="7" t="s">
        <v>1259</v>
      </c>
      <c r="B1026" s="7">
        <v>4379</v>
      </c>
      <c r="C1026" s="7" t="str">
        <f>"080416000"</f>
        <v>080416000</v>
      </c>
      <c r="D1026" s="7" t="s">
        <v>1261</v>
      </c>
      <c r="E1026" s="7">
        <v>5590</v>
      </c>
      <c r="F1026" s="7" t="str">
        <f>"080416104"</f>
        <v>080416104</v>
      </c>
      <c r="H1026" s="7">
        <v>402</v>
      </c>
      <c r="I1026" s="11">
        <v>0.74</v>
      </c>
    </row>
    <row r="1027" spans="1:9">
      <c r="A1027" s="7" t="s">
        <v>1259</v>
      </c>
      <c r="B1027" s="7">
        <v>4379</v>
      </c>
      <c r="C1027" s="7" t="str">
        <f>"080416000"</f>
        <v>080416000</v>
      </c>
      <c r="D1027" s="7" t="s">
        <v>1262</v>
      </c>
      <c r="E1027" s="7">
        <v>5589</v>
      </c>
      <c r="F1027" s="7" t="str">
        <f>"080416103"</f>
        <v>080416103</v>
      </c>
      <c r="H1027" s="7">
        <v>479</v>
      </c>
      <c r="I1027" s="11">
        <v>0.68</v>
      </c>
    </row>
    <row r="1028" spans="1:9">
      <c r="A1028" s="7" t="s">
        <v>1263</v>
      </c>
      <c r="B1028" s="7">
        <v>4503</v>
      </c>
      <c r="C1028" s="7" t="str">
        <f>"140417000"</f>
        <v>140417000</v>
      </c>
      <c r="D1028" s="7" t="s">
        <v>1264</v>
      </c>
      <c r="E1028" s="7">
        <v>6181</v>
      </c>
      <c r="F1028" s="7" t="str">
        <f>"140417101"</f>
        <v>140417101</v>
      </c>
      <c r="G1028" s="7" t="s">
        <v>26</v>
      </c>
      <c r="H1028" s="7">
        <v>156</v>
      </c>
      <c r="I1028" s="11">
        <v>0.79</v>
      </c>
    </row>
    <row r="1029" spans="1:9">
      <c r="A1029" s="7" t="s">
        <v>1265</v>
      </c>
      <c r="B1029" s="7">
        <v>4230</v>
      </c>
      <c r="C1029" s="7" t="str">
        <f>"060218000"</f>
        <v>060218000</v>
      </c>
      <c r="D1029" s="7" t="s">
        <v>1266</v>
      </c>
      <c r="E1029" s="7">
        <v>92081</v>
      </c>
      <c r="F1029" s="7" t="str">
        <f>"060218102"</f>
        <v>060218102</v>
      </c>
      <c r="H1029" s="7">
        <v>398</v>
      </c>
      <c r="I1029" s="11">
        <v>0.49</v>
      </c>
    </row>
    <row r="1030" spans="1:9">
      <c r="A1030" s="7" t="s">
        <v>1265</v>
      </c>
      <c r="B1030" s="7">
        <v>4230</v>
      </c>
      <c r="C1030" s="7" t="str">
        <f>"060218000"</f>
        <v>060218000</v>
      </c>
      <c r="D1030" s="7" t="s">
        <v>1267</v>
      </c>
      <c r="E1030" s="7">
        <v>4907</v>
      </c>
      <c r="F1030" s="7" t="str">
        <f>"060218101"</f>
        <v>060218101</v>
      </c>
      <c r="H1030" s="7">
        <v>654</v>
      </c>
      <c r="I1030" s="11">
        <v>0.46</v>
      </c>
    </row>
    <row r="1031" spans="1:9">
      <c r="A1031" s="7" t="s">
        <v>1265</v>
      </c>
      <c r="B1031" s="7">
        <v>4230</v>
      </c>
      <c r="C1031" s="7" t="str">
        <f>"060218000"</f>
        <v>060218000</v>
      </c>
      <c r="D1031" s="7" t="s">
        <v>1268</v>
      </c>
      <c r="E1031" s="7">
        <v>4906</v>
      </c>
      <c r="F1031" s="7" t="str">
        <f>"060218002"</f>
        <v>060218002</v>
      </c>
      <c r="H1031" s="7">
        <v>366</v>
      </c>
      <c r="I1031" s="11">
        <v>0.39</v>
      </c>
    </row>
    <row r="1032" spans="1:9">
      <c r="A1032" s="7" t="s">
        <v>1269</v>
      </c>
      <c r="B1032" s="7">
        <v>4251</v>
      </c>
      <c r="C1032" s="7" t="str">
        <f>"070375000"</f>
        <v>070375000</v>
      </c>
      <c r="D1032" s="7" t="s">
        <v>1270</v>
      </c>
      <c r="E1032" s="7">
        <v>5189</v>
      </c>
      <c r="F1032" s="7" t="str">
        <f>"070375101"</f>
        <v>070375101</v>
      </c>
      <c r="H1032" s="7">
        <v>145</v>
      </c>
      <c r="I1032" s="11">
        <v>0.7</v>
      </c>
    </row>
    <row r="1033" spans="1:9">
      <c r="A1033" s="7" t="s">
        <v>1271</v>
      </c>
      <c r="B1033" s="7">
        <v>81228</v>
      </c>
      <c r="C1033" s="7" t="str">
        <f>"072032000"</f>
        <v>072032000</v>
      </c>
      <c r="D1033" s="7" t="s">
        <v>1271</v>
      </c>
      <c r="E1033" s="7">
        <v>81229</v>
      </c>
      <c r="F1033" s="7" t="str">
        <f>"072032001"</f>
        <v>072032001</v>
      </c>
      <c r="H1033" s="7">
        <v>223</v>
      </c>
      <c r="I1033" s="11">
        <v>0.73</v>
      </c>
    </row>
    <row r="1034" spans="1:9" ht="28.5">
      <c r="A1034" s="7" t="s">
        <v>1272</v>
      </c>
      <c r="B1034" s="7">
        <v>4265</v>
      </c>
      <c r="C1034" s="7" t="str">
        <f>"070421000"</f>
        <v>070421000</v>
      </c>
      <c r="D1034" s="7" t="s">
        <v>1273</v>
      </c>
      <c r="E1034" s="7">
        <v>5290</v>
      </c>
      <c r="F1034" s="7" t="str">
        <f>"070421101"</f>
        <v>070421101</v>
      </c>
      <c r="G1034" s="7" t="s">
        <v>16</v>
      </c>
      <c r="H1034" s="7">
        <v>493</v>
      </c>
      <c r="I1034" s="11" t="s">
        <v>17</v>
      </c>
    </row>
    <row r="1035" spans="1:9" ht="28.5">
      <c r="A1035" s="7" t="s">
        <v>1272</v>
      </c>
      <c r="B1035" s="7">
        <v>4265</v>
      </c>
      <c r="C1035" s="7" t="str">
        <f>"070421000"</f>
        <v>070421000</v>
      </c>
      <c r="D1035" s="7" t="s">
        <v>1274</v>
      </c>
      <c r="E1035" s="7">
        <v>5291</v>
      </c>
      <c r="F1035" s="7" t="str">
        <f>"070421102"</f>
        <v>070421102</v>
      </c>
      <c r="G1035" s="7" t="s">
        <v>16</v>
      </c>
      <c r="H1035" s="7">
        <v>445</v>
      </c>
      <c r="I1035" s="11">
        <v>0.85</v>
      </c>
    </row>
    <row r="1036" spans="1:9" ht="28.5">
      <c r="A1036" s="7" t="s">
        <v>1272</v>
      </c>
      <c r="B1036" s="7">
        <v>4265</v>
      </c>
      <c r="C1036" s="7" t="str">
        <f>"070421000"</f>
        <v>070421000</v>
      </c>
      <c r="D1036" s="7" t="s">
        <v>1275</v>
      </c>
      <c r="E1036" s="7">
        <v>5292</v>
      </c>
      <c r="F1036" s="7" t="str">
        <f>"070421103"</f>
        <v>070421103</v>
      </c>
      <c r="G1036" s="7" t="s">
        <v>16</v>
      </c>
      <c r="H1036" s="7">
        <v>567</v>
      </c>
      <c r="I1036" s="11">
        <v>0.93</v>
      </c>
    </row>
    <row r="1037" spans="1:9" ht="28.5">
      <c r="A1037" s="7" t="s">
        <v>1276</v>
      </c>
      <c r="B1037" s="7">
        <v>4176</v>
      </c>
      <c r="C1037" s="7" t="str">
        <f>"020323000"</f>
        <v>020323000</v>
      </c>
      <c r="D1037" s="7" t="s">
        <v>1277</v>
      </c>
      <c r="E1037" s="7">
        <v>4784</v>
      </c>
      <c r="F1037" s="7" t="str">
        <f>"020323001"</f>
        <v>020323001</v>
      </c>
      <c r="G1037" s="7" t="s">
        <v>16</v>
      </c>
      <c r="H1037" s="7">
        <v>272</v>
      </c>
      <c r="I1037" s="11">
        <v>0.76</v>
      </c>
    </row>
    <row r="1038" spans="1:9">
      <c r="A1038" s="7" t="s">
        <v>1278</v>
      </c>
      <c r="B1038" s="7">
        <v>4252</v>
      </c>
      <c r="C1038" s="7" t="str">
        <f>"070281000"</f>
        <v>070281000</v>
      </c>
      <c r="D1038" s="7" t="s">
        <v>1279</v>
      </c>
      <c r="E1038" s="7">
        <v>89748</v>
      </c>
      <c r="F1038" s="7" t="str">
        <f>"070381102"</f>
        <v>070381102</v>
      </c>
      <c r="H1038" s="7">
        <v>673</v>
      </c>
      <c r="I1038" s="11">
        <v>0.51</v>
      </c>
    </row>
    <row r="1039" spans="1:9">
      <c r="A1039" s="7" t="s">
        <v>1278</v>
      </c>
      <c r="B1039" s="7">
        <v>4252</v>
      </c>
      <c r="C1039" s="7" t="str">
        <f>"070281000"</f>
        <v>070281000</v>
      </c>
      <c r="D1039" s="7" t="s">
        <v>1280</v>
      </c>
      <c r="E1039" s="7">
        <v>1001155</v>
      </c>
      <c r="F1039" s="7" t="str">
        <f>"070381201"</f>
        <v>070381201</v>
      </c>
      <c r="H1039" s="7">
        <v>321</v>
      </c>
      <c r="I1039" s="11">
        <v>0.53</v>
      </c>
    </row>
    <row r="1040" spans="1:9">
      <c r="A1040" s="7" t="s">
        <v>1278</v>
      </c>
      <c r="B1040" s="7">
        <v>4252</v>
      </c>
      <c r="C1040" s="7" t="str">
        <f>"070281000"</f>
        <v>070281000</v>
      </c>
      <c r="D1040" s="7" t="s">
        <v>1281</v>
      </c>
      <c r="E1040" s="7">
        <v>5190</v>
      </c>
      <c r="F1040" s="7" t="str">
        <f>"070381101"</f>
        <v>070381101</v>
      </c>
      <c r="H1040" s="7">
        <v>492</v>
      </c>
      <c r="I1040" s="11">
        <v>0.66</v>
      </c>
    </row>
    <row r="1041" spans="1:9" ht="28.5">
      <c r="A1041" s="7" t="s">
        <v>1282</v>
      </c>
      <c r="B1041" s="7">
        <v>80278</v>
      </c>
      <c r="C1041" s="7" t="str">
        <f>"092006000"</f>
        <v>092006000</v>
      </c>
      <c r="D1041" s="7" t="s">
        <v>1282</v>
      </c>
      <c r="E1041" s="7">
        <v>80279</v>
      </c>
      <c r="F1041" s="7" t="str">
        <f>"092006001"</f>
        <v>092006001</v>
      </c>
      <c r="G1041" s="7" t="s">
        <v>16</v>
      </c>
      <c r="H1041" s="7">
        <v>30</v>
      </c>
      <c r="I1041" s="11" t="s">
        <v>17</v>
      </c>
    </row>
    <row r="1042" spans="1:9" ht="28.5">
      <c r="A1042" s="7" t="s">
        <v>1283</v>
      </c>
      <c r="B1042" s="7">
        <v>80103</v>
      </c>
      <c r="C1042" s="7" t="str">
        <f>"012002000"</f>
        <v>012002000</v>
      </c>
      <c r="D1042" s="7" t="s">
        <v>1283</v>
      </c>
      <c r="E1042" s="7">
        <v>80104</v>
      </c>
      <c r="F1042" s="7" t="str">
        <f>"012002001"</f>
        <v>012002001</v>
      </c>
      <c r="G1042" s="7" t="s">
        <v>16</v>
      </c>
      <c r="H1042" s="7">
        <v>18</v>
      </c>
      <c r="I1042" s="11" t="s">
        <v>17</v>
      </c>
    </row>
    <row r="1043" spans="1:9" ht="28.5">
      <c r="A1043" s="7" t="s">
        <v>1284</v>
      </c>
      <c r="B1043" s="7">
        <v>87884</v>
      </c>
      <c r="C1043" s="7" t="str">
        <f>"013902000"</f>
        <v>013902000</v>
      </c>
      <c r="D1043" s="7" t="s">
        <v>1284</v>
      </c>
      <c r="E1043" s="7">
        <v>87885</v>
      </c>
      <c r="F1043" s="7" t="str">
        <f>"013902001"</f>
        <v>013902001</v>
      </c>
      <c r="G1043" s="7" t="s">
        <v>16</v>
      </c>
      <c r="H1043" s="7">
        <v>48</v>
      </c>
      <c r="I1043" s="11" t="s">
        <v>17</v>
      </c>
    </row>
    <row r="1044" spans="1:9" ht="28.5">
      <c r="A1044" s="7" t="s">
        <v>1285</v>
      </c>
      <c r="B1044" s="7">
        <v>4366</v>
      </c>
      <c r="C1044" s="7" t="str">
        <f>"078771000"</f>
        <v>078771000</v>
      </c>
      <c r="D1044" s="7" t="s">
        <v>1285</v>
      </c>
      <c r="E1044" s="7">
        <v>5554</v>
      </c>
      <c r="F1044" s="7" t="str">
        <f>"078771001"</f>
        <v>078771001</v>
      </c>
      <c r="H1044" s="7">
        <v>133</v>
      </c>
      <c r="I1044" s="11" t="s">
        <v>17</v>
      </c>
    </row>
    <row r="1045" spans="1:9">
      <c r="A1045" s="7" t="s">
        <v>1286</v>
      </c>
      <c r="B1045" s="7">
        <v>78882</v>
      </c>
      <c r="C1045" s="7" t="str">
        <f>"078760000"</f>
        <v>078760000</v>
      </c>
      <c r="D1045" s="7" t="s">
        <v>1286</v>
      </c>
      <c r="E1045" s="7">
        <v>78883</v>
      </c>
      <c r="F1045" s="7" t="str">
        <f>"078760001"</f>
        <v>078760001</v>
      </c>
      <c r="H1045" s="7">
        <v>208</v>
      </c>
      <c r="I1045" s="11">
        <v>0.78</v>
      </c>
    </row>
    <row r="1046" spans="1:9">
      <c r="A1046" s="7" t="s">
        <v>1287</v>
      </c>
      <c r="B1046" s="7">
        <v>10760</v>
      </c>
      <c r="C1046" s="7" t="str">
        <f>"078930000"</f>
        <v>078930000</v>
      </c>
      <c r="D1046" s="7" t="s">
        <v>1288</v>
      </c>
      <c r="E1046" s="7">
        <v>10800</v>
      </c>
      <c r="F1046" s="7" t="str">
        <f>"078930101"</f>
        <v>078930101</v>
      </c>
      <c r="H1046" s="7">
        <v>495</v>
      </c>
      <c r="I1046" s="11">
        <v>0.56000000000000005</v>
      </c>
    </row>
    <row r="1047" spans="1:9">
      <c r="A1047" s="7" t="s">
        <v>1289</v>
      </c>
      <c r="B1047" s="7">
        <v>92374</v>
      </c>
      <c r="C1047" s="7" t="str">
        <f>"078261000"</f>
        <v>078261000</v>
      </c>
      <c r="D1047" s="7" t="s">
        <v>1289</v>
      </c>
      <c r="E1047" s="7">
        <v>92345</v>
      </c>
      <c r="F1047" s="7" t="str">
        <f>"078261001"</f>
        <v>078261001</v>
      </c>
      <c r="H1047" s="7">
        <v>253</v>
      </c>
      <c r="I1047" s="11">
        <v>0.79</v>
      </c>
    </row>
    <row r="1048" spans="1:9" ht="28.5">
      <c r="A1048" s="7" t="s">
        <v>1290</v>
      </c>
      <c r="B1048" s="7">
        <v>4457</v>
      </c>
      <c r="C1048" s="7" t="str">
        <f t="shared" ref="C1048:C1057" si="47">"120201000"</f>
        <v>120201000</v>
      </c>
      <c r="D1048" s="7" t="s">
        <v>1291</v>
      </c>
      <c r="E1048" s="7">
        <v>5958</v>
      </c>
      <c r="F1048" s="7" t="str">
        <f>"120201114"</f>
        <v>120201114</v>
      </c>
      <c r="G1048" s="7" t="s">
        <v>16</v>
      </c>
      <c r="H1048" s="7">
        <v>312</v>
      </c>
      <c r="I1048" s="11" t="s">
        <v>17</v>
      </c>
    </row>
    <row r="1049" spans="1:9" ht="28.5">
      <c r="A1049" s="7" t="s">
        <v>1290</v>
      </c>
      <c r="B1049" s="7">
        <v>4457</v>
      </c>
      <c r="C1049" s="7" t="str">
        <f t="shared" si="47"/>
        <v>120201000</v>
      </c>
      <c r="D1049" s="7" t="s">
        <v>1292</v>
      </c>
      <c r="E1049" s="7">
        <v>5960</v>
      </c>
      <c r="F1049" s="7" t="str">
        <f>"120201119"</f>
        <v>120201119</v>
      </c>
      <c r="G1049" s="7" t="s">
        <v>16</v>
      </c>
      <c r="H1049" s="7">
        <v>379</v>
      </c>
      <c r="I1049" s="11">
        <v>0.95</v>
      </c>
    </row>
    <row r="1050" spans="1:9" ht="28.5">
      <c r="A1050" s="7" t="s">
        <v>1290</v>
      </c>
      <c r="B1050" s="7">
        <v>4457</v>
      </c>
      <c r="C1050" s="7" t="str">
        <f t="shared" si="47"/>
        <v>120201000</v>
      </c>
      <c r="D1050" s="7" t="s">
        <v>1293</v>
      </c>
      <c r="E1050" s="7">
        <v>5954</v>
      </c>
      <c r="F1050" s="7" t="str">
        <f>"120201104"</f>
        <v>120201104</v>
      </c>
      <c r="G1050" s="7" t="s">
        <v>16</v>
      </c>
      <c r="H1050" s="7">
        <v>768</v>
      </c>
      <c r="I1050" s="11">
        <v>0.68</v>
      </c>
    </row>
    <row r="1051" spans="1:9" ht="28.5">
      <c r="A1051" s="7" t="s">
        <v>1290</v>
      </c>
      <c r="B1051" s="7">
        <v>4457</v>
      </c>
      <c r="C1051" s="7" t="str">
        <f t="shared" si="47"/>
        <v>120201000</v>
      </c>
      <c r="D1051" s="7" t="s">
        <v>1294</v>
      </c>
      <c r="E1051" s="7">
        <v>5955</v>
      </c>
      <c r="F1051" s="7" t="str">
        <f>"120201108"</f>
        <v>120201108</v>
      </c>
      <c r="G1051" s="7" t="s">
        <v>16</v>
      </c>
      <c r="H1051" s="7">
        <v>507</v>
      </c>
      <c r="I1051" s="11">
        <v>0.66</v>
      </c>
    </row>
    <row r="1052" spans="1:9" ht="28.5">
      <c r="A1052" s="7" t="s">
        <v>1290</v>
      </c>
      <c r="B1052" s="7">
        <v>4457</v>
      </c>
      <c r="C1052" s="7" t="str">
        <f t="shared" si="47"/>
        <v>120201000</v>
      </c>
      <c r="D1052" s="7" t="s">
        <v>1199</v>
      </c>
      <c r="E1052" s="7">
        <v>5957</v>
      </c>
      <c r="F1052" s="7" t="str">
        <f>"120201113"</f>
        <v>120201113</v>
      </c>
      <c r="G1052" s="7" t="s">
        <v>16</v>
      </c>
      <c r="H1052" s="7">
        <v>423</v>
      </c>
      <c r="I1052" s="11" t="s">
        <v>17</v>
      </c>
    </row>
    <row r="1053" spans="1:9" ht="28.5">
      <c r="A1053" s="7" t="s">
        <v>1290</v>
      </c>
      <c r="B1053" s="7">
        <v>4457</v>
      </c>
      <c r="C1053" s="7" t="str">
        <f t="shared" si="47"/>
        <v>120201000</v>
      </c>
      <c r="D1053" s="7" t="s">
        <v>1295</v>
      </c>
      <c r="E1053" s="7">
        <v>5959</v>
      </c>
      <c r="F1053" s="7" t="str">
        <f>"120201115"</f>
        <v>120201115</v>
      </c>
      <c r="G1053" s="7" t="s">
        <v>16</v>
      </c>
      <c r="H1053" s="7">
        <v>379</v>
      </c>
      <c r="I1053" s="11" t="s">
        <v>17</v>
      </c>
    </row>
    <row r="1054" spans="1:9" ht="28.5">
      <c r="A1054" s="7" t="s">
        <v>1290</v>
      </c>
      <c r="B1054" s="7">
        <v>4457</v>
      </c>
      <c r="C1054" s="7" t="str">
        <f t="shared" si="47"/>
        <v>120201000</v>
      </c>
      <c r="D1054" s="7" t="s">
        <v>1296</v>
      </c>
      <c r="E1054" s="7">
        <v>5962</v>
      </c>
      <c r="F1054" s="7" t="str">
        <f>"120201210"</f>
        <v>120201210</v>
      </c>
      <c r="G1054" s="7" t="s">
        <v>16</v>
      </c>
      <c r="H1054" s="7">
        <v>1798</v>
      </c>
      <c r="I1054" s="11">
        <v>0.6</v>
      </c>
    </row>
    <row r="1055" spans="1:9" ht="28.5">
      <c r="A1055" s="7" t="s">
        <v>1290</v>
      </c>
      <c r="B1055" s="7">
        <v>4457</v>
      </c>
      <c r="C1055" s="7" t="str">
        <f t="shared" si="47"/>
        <v>120201000</v>
      </c>
      <c r="D1055" s="7" t="s">
        <v>1297</v>
      </c>
      <c r="E1055" s="7">
        <v>5961</v>
      </c>
      <c r="F1055" s="7" t="str">
        <f>"120201209"</f>
        <v>120201209</v>
      </c>
      <c r="G1055" s="7" t="s">
        <v>16</v>
      </c>
      <c r="H1055" s="7">
        <v>162</v>
      </c>
      <c r="I1055" s="11" t="s">
        <v>17</v>
      </c>
    </row>
    <row r="1056" spans="1:9" ht="28.5">
      <c r="A1056" s="7" t="s">
        <v>1290</v>
      </c>
      <c r="B1056" s="7">
        <v>4457</v>
      </c>
      <c r="C1056" s="7" t="str">
        <f t="shared" si="47"/>
        <v>120201000</v>
      </c>
      <c r="D1056" s="7" t="s">
        <v>1298</v>
      </c>
      <c r="E1056" s="7">
        <v>6071</v>
      </c>
      <c r="F1056" s="7" t="str">
        <f>"120201103"</f>
        <v>120201103</v>
      </c>
      <c r="G1056" s="7" t="s">
        <v>16</v>
      </c>
      <c r="H1056" s="7">
        <v>271</v>
      </c>
      <c r="I1056" s="11">
        <v>0.76</v>
      </c>
    </row>
    <row r="1057" spans="1:9" ht="28.5">
      <c r="A1057" s="7" t="s">
        <v>1290</v>
      </c>
      <c r="B1057" s="7">
        <v>4457</v>
      </c>
      <c r="C1057" s="7" t="str">
        <f t="shared" si="47"/>
        <v>120201000</v>
      </c>
      <c r="D1057" s="7" t="s">
        <v>1299</v>
      </c>
      <c r="E1057" s="7">
        <v>5956</v>
      </c>
      <c r="F1057" s="7" t="str">
        <f>"120201111"</f>
        <v>120201111</v>
      </c>
      <c r="G1057" s="7" t="s">
        <v>16</v>
      </c>
      <c r="H1057" s="7">
        <v>561</v>
      </c>
      <c r="I1057" s="11">
        <v>0.97</v>
      </c>
    </row>
    <row r="1058" spans="1:9" ht="28.5">
      <c r="A1058" s="7" t="s">
        <v>1300</v>
      </c>
      <c r="B1058" s="7">
        <v>79881</v>
      </c>
      <c r="C1058" s="7" t="str">
        <f>"108707000"</f>
        <v>108707000</v>
      </c>
      <c r="D1058" s="7" t="s">
        <v>1301</v>
      </c>
      <c r="E1058" s="7">
        <v>79899</v>
      </c>
      <c r="F1058" s="7" t="str">
        <f>"108707001"</f>
        <v>108707001</v>
      </c>
      <c r="G1058" s="7" t="s">
        <v>16</v>
      </c>
      <c r="H1058" s="7">
        <v>261</v>
      </c>
      <c r="I1058" s="11">
        <v>0.97</v>
      </c>
    </row>
    <row r="1059" spans="1:9">
      <c r="A1059" s="7" t="s">
        <v>1302</v>
      </c>
      <c r="B1059" s="7">
        <v>79503</v>
      </c>
      <c r="C1059" s="7" t="str">
        <f>"028751000"</f>
        <v>028751000</v>
      </c>
      <c r="D1059" s="7" t="s">
        <v>1303</v>
      </c>
      <c r="E1059" s="7">
        <v>79505</v>
      </c>
      <c r="F1059" s="7" t="str">
        <f>"028751002"</f>
        <v>028751002</v>
      </c>
      <c r="H1059" s="7">
        <v>179</v>
      </c>
      <c r="I1059" s="11" t="s">
        <v>17</v>
      </c>
    </row>
    <row r="1060" spans="1:9">
      <c r="A1060" s="7" t="s">
        <v>1304</v>
      </c>
      <c r="B1060" s="7">
        <v>4444</v>
      </c>
      <c r="C1060" s="7" t="str">
        <f>"110302000"</f>
        <v>110302000</v>
      </c>
      <c r="D1060" s="7" t="s">
        <v>1305</v>
      </c>
      <c r="E1060" s="7">
        <v>5927</v>
      </c>
      <c r="F1060" s="7" t="str">
        <f>"110302102"</f>
        <v>110302102</v>
      </c>
      <c r="H1060" s="7">
        <v>403</v>
      </c>
      <c r="I1060" s="11">
        <v>0.69</v>
      </c>
    </row>
    <row r="1061" spans="1:9" ht="28.5">
      <c r="A1061" s="7" t="s">
        <v>1306</v>
      </c>
      <c r="B1061" s="7">
        <v>4262</v>
      </c>
      <c r="C1061" s="7" t="str">
        <f t="shared" ref="C1061:C1066" si="48">"070408000"</f>
        <v>070408000</v>
      </c>
      <c r="D1061" s="7" t="s">
        <v>1307</v>
      </c>
      <c r="E1061" s="7">
        <v>5278</v>
      </c>
      <c r="F1061" s="7" t="str">
        <f>"070408102"</f>
        <v>070408102</v>
      </c>
      <c r="G1061" s="7" t="s">
        <v>16</v>
      </c>
      <c r="H1061" s="7">
        <v>401</v>
      </c>
      <c r="I1061" s="12">
        <v>0.71</v>
      </c>
    </row>
    <row r="1062" spans="1:9" ht="28.5">
      <c r="A1062" s="7" t="s">
        <v>1306</v>
      </c>
      <c r="B1062" s="7">
        <v>4262</v>
      </c>
      <c r="C1062" s="7" t="str">
        <f t="shared" si="48"/>
        <v>070408000</v>
      </c>
      <c r="D1062" s="7" t="s">
        <v>1308</v>
      </c>
      <c r="E1062" s="7">
        <v>5279</v>
      </c>
      <c r="F1062" s="7" t="str">
        <f>"070408103"</f>
        <v>070408103</v>
      </c>
      <c r="G1062" s="7" t="s">
        <v>16</v>
      </c>
      <c r="H1062" s="7">
        <v>651</v>
      </c>
      <c r="I1062" s="12">
        <v>0.73</v>
      </c>
    </row>
    <row r="1063" spans="1:9" ht="28.5">
      <c r="A1063" s="7" t="s">
        <v>1306</v>
      </c>
      <c r="B1063" s="7">
        <v>4262</v>
      </c>
      <c r="C1063" s="7" t="str">
        <f t="shared" si="48"/>
        <v>070408000</v>
      </c>
      <c r="D1063" s="7" t="s">
        <v>1309</v>
      </c>
      <c r="E1063" s="7">
        <v>5282</v>
      </c>
      <c r="F1063" s="7" t="str">
        <f>"070408107"</f>
        <v>070408107</v>
      </c>
      <c r="G1063" s="7" t="s">
        <v>16</v>
      </c>
      <c r="H1063" s="7">
        <v>475</v>
      </c>
      <c r="I1063" s="12">
        <v>0.79</v>
      </c>
    </row>
    <row r="1064" spans="1:9" ht="28.5">
      <c r="A1064" s="7" t="s">
        <v>1306</v>
      </c>
      <c r="B1064" s="7">
        <v>4262</v>
      </c>
      <c r="C1064" s="7" t="str">
        <f t="shared" si="48"/>
        <v>070408000</v>
      </c>
      <c r="D1064" s="7" t="s">
        <v>1310</v>
      </c>
      <c r="E1064" s="7">
        <v>6021</v>
      </c>
      <c r="F1064" s="7" t="str">
        <f>"070408105"</f>
        <v>070408105</v>
      </c>
      <c r="G1064" s="7" t="s">
        <v>16</v>
      </c>
      <c r="H1064" s="7">
        <v>58</v>
      </c>
      <c r="I1064" s="11" t="s">
        <v>17</v>
      </c>
    </row>
    <row r="1065" spans="1:9" ht="28.5">
      <c r="A1065" s="7" t="s">
        <v>1306</v>
      </c>
      <c r="B1065" s="7">
        <v>4262</v>
      </c>
      <c r="C1065" s="7" t="str">
        <f t="shared" si="48"/>
        <v>070408000</v>
      </c>
      <c r="D1065" s="7" t="s">
        <v>1311</v>
      </c>
      <c r="E1065" s="7">
        <v>5280</v>
      </c>
      <c r="F1065" s="7" t="str">
        <f>"070408104"</f>
        <v>070408104</v>
      </c>
      <c r="G1065" s="7" t="s">
        <v>16</v>
      </c>
      <c r="H1065" s="7">
        <v>458</v>
      </c>
      <c r="I1065" s="12">
        <v>0.76</v>
      </c>
    </row>
    <row r="1066" spans="1:9" ht="28.5">
      <c r="A1066" s="7" t="s">
        <v>1306</v>
      </c>
      <c r="B1066" s="7">
        <v>4262</v>
      </c>
      <c r="C1066" s="7" t="str">
        <f t="shared" si="48"/>
        <v>070408000</v>
      </c>
      <c r="D1066" s="7" t="s">
        <v>1312</v>
      </c>
      <c r="E1066" s="7">
        <v>5281</v>
      </c>
      <c r="F1066" s="7" t="str">
        <f>"070408106"</f>
        <v>070408106</v>
      </c>
      <c r="G1066" s="7" t="s">
        <v>16</v>
      </c>
      <c r="H1066" s="7">
        <v>434</v>
      </c>
      <c r="I1066" s="12">
        <v>0.95</v>
      </c>
    </row>
    <row r="1067" spans="1:9" ht="28.5">
      <c r="A1067" s="7" t="s">
        <v>1313</v>
      </c>
      <c r="B1067" s="7">
        <v>80120</v>
      </c>
      <c r="C1067" s="7" t="str">
        <f>"072008000"</f>
        <v>072008000</v>
      </c>
      <c r="D1067" s="7" t="s">
        <v>1314</v>
      </c>
      <c r="E1067" s="7">
        <v>80121</v>
      </c>
      <c r="F1067" s="7" t="str">
        <f>"072008001"</f>
        <v>072008001</v>
      </c>
      <c r="H1067" s="7">
        <v>302</v>
      </c>
      <c r="I1067" s="11">
        <v>0.84</v>
      </c>
    </row>
    <row r="1068" spans="1:9">
      <c r="A1068" s="7" t="s">
        <v>1315</v>
      </c>
      <c r="B1068" s="7">
        <v>92564</v>
      </c>
      <c r="C1068" s="7" t="str">
        <f>"102041000"</f>
        <v>102041000</v>
      </c>
      <c r="D1068" s="7" t="s">
        <v>1316</v>
      </c>
      <c r="E1068" s="7">
        <v>90000</v>
      </c>
      <c r="F1068" s="7" t="str">
        <f>"102041001"</f>
        <v>102041001</v>
      </c>
      <c r="H1068" s="7">
        <v>206</v>
      </c>
      <c r="I1068" s="11">
        <v>0.56999999999999995</v>
      </c>
    </row>
    <row r="1069" spans="1:9">
      <c r="A1069" s="7" t="s">
        <v>1317</v>
      </c>
      <c r="B1069" s="7">
        <v>4373</v>
      </c>
      <c r="C1069" s="7" t="str">
        <f>"080306000"</f>
        <v>080306000</v>
      </c>
      <c r="D1069" s="7" t="s">
        <v>1318</v>
      </c>
      <c r="E1069" s="7">
        <v>5578</v>
      </c>
      <c r="F1069" s="7" t="str">
        <f>"080306101"</f>
        <v>080306101</v>
      </c>
      <c r="H1069" s="7">
        <v>12</v>
      </c>
      <c r="I1069" s="11">
        <v>0.83</v>
      </c>
    </row>
    <row r="1070" spans="1:9">
      <c r="A1070" s="7" t="s">
        <v>1319</v>
      </c>
      <c r="B1070" s="7">
        <v>6235</v>
      </c>
      <c r="C1070" s="7" t="str">
        <f>"078907000"</f>
        <v>078907000</v>
      </c>
      <c r="D1070" s="7" t="s">
        <v>1320</v>
      </c>
      <c r="E1070" s="7">
        <v>87413</v>
      </c>
      <c r="F1070" s="7" t="str">
        <f>"078907103"</f>
        <v>078907103</v>
      </c>
      <c r="G1070" s="7" t="s">
        <v>26</v>
      </c>
      <c r="H1070" s="7">
        <v>886</v>
      </c>
      <c r="I1070" s="11">
        <v>0.46</v>
      </c>
    </row>
    <row r="1071" spans="1:9" ht="28.5">
      <c r="A1071" s="7" t="s">
        <v>1321</v>
      </c>
      <c r="B1071" s="7">
        <v>4196</v>
      </c>
      <c r="C1071" s="7" t="str">
        <f t="shared" ref="C1071:C1076" si="49">"030208000"</f>
        <v>030208000</v>
      </c>
      <c r="D1071" s="7" t="s">
        <v>1322</v>
      </c>
      <c r="E1071" s="7">
        <v>4829</v>
      </c>
      <c r="F1071" s="7" t="str">
        <f>"030208101"</f>
        <v>030208101</v>
      </c>
      <c r="G1071" s="7" t="s">
        <v>16</v>
      </c>
      <c r="H1071" s="7">
        <v>480</v>
      </c>
      <c r="I1071" s="11" t="s">
        <v>17</v>
      </c>
    </row>
    <row r="1072" spans="1:9" ht="28.5">
      <c r="A1072" s="7" t="s">
        <v>1321</v>
      </c>
      <c r="B1072" s="7">
        <v>4196</v>
      </c>
      <c r="C1072" s="7" t="str">
        <f t="shared" si="49"/>
        <v>030208000</v>
      </c>
      <c r="D1072" s="7" t="s">
        <v>1323</v>
      </c>
      <c r="E1072" s="7">
        <v>4830</v>
      </c>
      <c r="F1072" s="7" t="str">
        <f>"030208102"</f>
        <v>030208102</v>
      </c>
      <c r="G1072" s="7" t="s">
        <v>16</v>
      </c>
      <c r="H1072" s="7">
        <v>437</v>
      </c>
      <c r="I1072" s="11" t="s">
        <v>17</v>
      </c>
    </row>
    <row r="1073" spans="1:9" ht="28.5">
      <c r="A1073" s="7" t="s">
        <v>1321</v>
      </c>
      <c r="B1073" s="7">
        <v>4196</v>
      </c>
      <c r="C1073" s="7" t="str">
        <f t="shared" si="49"/>
        <v>030208000</v>
      </c>
      <c r="D1073" s="7" t="s">
        <v>1324</v>
      </c>
      <c r="E1073" s="7">
        <v>92913</v>
      </c>
      <c r="F1073" s="7" t="str">
        <f>"030208210"</f>
        <v>030208210</v>
      </c>
      <c r="G1073" s="7" t="s">
        <v>16</v>
      </c>
      <c r="H1073" s="7">
        <v>53</v>
      </c>
      <c r="I1073" s="11" t="s">
        <v>17</v>
      </c>
    </row>
    <row r="1074" spans="1:9" ht="28.5">
      <c r="A1074" s="7" t="s">
        <v>1321</v>
      </c>
      <c r="B1074" s="7">
        <v>4196</v>
      </c>
      <c r="C1074" s="7" t="str">
        <f t="shared" si="49"/>
        <v>030208000</v>
      </c>
      <c r="D1074" s="7" t="s">
        <v>1325</v>
      </c>
      <c r="E1074" s="7">
        <v>4832</v>
      </c>
      <c r="F1074" s="7" t="str">
        <f>"030208209"</f>
        <v>030208209</v>
      </c>
      <c r="G1074" s="7" t="s">
        <v>16</v>
      </c>
      <c r="H1074" s="7">
        <v>819</v>
      </c>
      <c r="I1074" s="11">
        <v>0.88</v>
      </c>
    </row>
    <row r="1075" spans="1:9" ht="28.5">
      <c r="A1075" s="7" t="s">
        <v>1321</v>
      </c>
      <c r="B1075" s="7">
        <v>4196</v>
      </c>
      <c r="C1075" s="7" t="str">
        <f t="shared" si="49"/>
        <v>030208000</v>
      </c>
      <c r="D1075" s="7" t="s">
        <v>1326</v>
      </c>
      <c r="E1075" s="7">
        <v>4831</v>
      </c>
      <c r="F1075" s="7" t="str">
        <f>"030208106"</f>
        <v>030208106</v>
      </c>
      <c r="G1075" s="7" t="s">
        <v>16</v>
      </c>
      <c r="H1075" s="7">
        <v>501</v>
      </c>
      <c r="I1075" s="11" t="s">
        <v>17</v>
      </c>
    </row>
    <row r="1076" spans="1:9" ht="28.5">
      <c r="A1076" s="7" t="s">
        <v>1321</v>
      </c>
      <c r="B1076" s="7">
        <v>4196</v>
      </c>
      <c r="C1076" s="7" t="str">
        <f t="shared" si="49"/>
        <v>030208000</v>
      </c>
      <c r="D1076" s="7" t="s">
        <v>1327</v>
      </c>
      <c r="E1076" s="7">
        <v>81127</v>
      </c>
      <c r="F1076" s="7" t="str">
        <f>"030199006"</f>
        <v>030199006</v>
      </c>
      <c r="G1076" s="7" t="s">
        <v>16</v>
      </c>
      <c r="H1076" s="7">
        <v>33</v>
      </c>
      <c r="I1076" s="11" t="s">
        <v>17</v>
      </c>
    </row>
    <row r="1077" spans="1:9" ht="28.5">
      <c r="A1077" s="7" t="s">
        <v>1328</v>
      </c>
      <c r="B1077" s="7">
        <v>79086</v>
      </c>
      <c r="C1077" s="7" t="str">
        <f>"038753000"</f>
        <v>038753000</v>
      </c>
      <c r="D1077" s="7" t="s">
        <v>1329</v>
      </c>
      <c r="E1077" s="7">
        <v>79090</v>
      </c>
      <c r="F1077" s="7" t="str">
        <f>"038753101"</f>
        <v>038753101</v>
      </c>
      <c r="G1077" s="7" t="s">
        <v>16</v>
      </c>
      <c r="H1077" s="7">
        <v>119</v>
      </c>
      <c r="I1077" s="11">
        <v>0.66</v>
      </c>
    </row>
    <row r="1078" spans="1:9">
      <c r="A1078" s="7" t="s">
        <v>1330</v>
      </c>
      <c r="B1078" s="7">
        <v>4275</v>
      </c>
      <c r="C1078" s="7" t="str">
        <f>"070449000"</f>
        <v>070449000</v>
      </c>
      <c r="D1078" s="7" t="s">
        <v>1331</v>
      </c>
      <c r="E1078" s="7">
        <v>5355</v>
      </c>
      <c r="F1078" s="7" t="str">
        <f>"070449101"</f>
        <v>070449101</v>
      </c>
      <c r="H1078" s="7">
        <v>495</v>
      </c>
      <c r="I1078" s="11">
        <v>0.76</v>
      </c>
    </row>
    <row r="1079" spans="1:9">
      <c r="A1079" s="7" t="s">
        <v>1332</v>
      </c>
      <c r="B1079" s="7">
        <v>4255</v>
      </c>
      <c r="C1079" s="7" t="str">
        <f>"070394000"</f>
        <v>070394000</v>
      </c>
      <c r="D1079" s="7" t="s">
        <v>1333</v>
      </c>
      <c r="E1079" s="7">
        <v>5193</v>
      </c>
      <c r="F1079" s="7" t="str">
        <f>"070394001"</f>
        <v>070394001</v>
      </c>
      <c r="G1079" s="7" t="s">
        <v>26</v>
      </c>
      <c r="H1079" s="7">
        <v>121</v>
      </c>
      <c r="I1079" s="11">
        <v>0.83</v>
      </c>
    </row>
    <row r="1080" spans="1:9">
      <c r="A1080" s="7" t="s">
        <v>1334</v>
      </c>
      <c r="B1080" s="7">
        <v>4180</v>
      </c>
      <c r="C1080" s="7" t="str">
        <f>"020349000"</f>
        <v>020349000</v>
      </c>
      <c r="D1080" s="7" t="s">
        <v>833</v>
      </c>
      <c r="E1080" s="7">
        <v>4789</v>
      </c>
      <c r="F1080" s="7" t="str">
        <f>"020349102"</f>
        <v>020349102</v>
      </c>
      <c r="H1080" s="7">
        <v>421</v>
      </c>
      <c r="I1080" s="11">
        <v>0.39</v>
      </c>
    </row>
    <row r="1081" spans="1:9">
      <c r="A1081" s="7" t="s">
        <v>1334</v>
      </c>
      <c r="B1081" s="7">
        <v>4180</v>
      </c>
      <c r="C1081" s="7" t="str">
        <f>"020349000"</f>
        <v>020349000</v>
      </c>
      <c r="D1081" s="7" t="s">
        <v>1335</v>
      </c>
      <c r="E1081" s="7">
        <v>4788</v>
      </c>
      <c r="F1081" s="7" t="str">
        <f>"020349101"</f>
        <v>020349101</v>
      </c>
      <c r="H1081" s="7">
        <v>375</v>
      </c>
      <c r="I1081" s="11">
        <v>0.45</v>
      </c>
    </row>
    <row r="1082" spans="1:9">
      <c r="A1082" s="7" t="s">
        <v>1334</v>
      </c>
      <c r="B1082" s="7">
        <v>4180</v>
      </c>
      <c r="C1082" s="7" t="str">
        <f>"020349000"</f>
        <v>020349000</v>
      </c>
      <c r="D1082" s="7" t="s">
        <v>1336</v>
      </c>
      <c r="E1082" s="7">
        <v>78914</v>
      </c>
      <c r="F1082" s="7" t="str">
        <f>"020349103"</f>
        <v>020349103</v>
      </c>
      <c r="H1082" s="7">
        <v>45</v>
      </c>
      <c r="I1082" s="11">
        <v>0.27</v>
      </c>
    </row>
    <row r="1083" spans="1:9">
      <c r="A1083" s="7" t="s">
        <v>1337</v>
      </c>
      <c r="B1083" s="7">
        <v>79578</v>
      </c>
      <c r="C1083" s="7" t="str">
        <f>"078940000"</f>
        <v>078940000</v>
      </c>
      <c r="D1083" s="7" t="s">
        <v>1338</v>
      </c>
      <c r="E1083" s="7">
        <v>79579</v>
      </c>
      <c r="F1083" s="7" t="str">
        <f>"078940101"</f>
        <v>078940101</v>
      </c>
      <c r="G1083" s="7" t="s">
        <v>26</v>
      </c>
      <c r="H1083" s="7">
        <v>1179</v>
      </c>
      <c r="I1083" s="11">
        <v>0.97</v>
      </c>
    </row>
    <row r="1084" spans="1:9">
      <c r="A1084" s="7" t="s">
        <v>1339</v>
      </c>
      <c r="B1084" s="7">
        <v>4241</v>
      </c>
      <c r="C1084" s="7" t="str">
        <f t="shared" ref="C1084:C1127" si="50">"070269000"</f>
        <v>070269000</v>
      </c>
      <c r="D1084" s="7" t="s">
        <v>1340</v>
      </c>
      <c r="E1084" s="7">
        <v>5091</v>
      </c>
      <c r="F1084" s="7" t="str">
        <f>"070269144"</f>
        <v>070269144</v>
      </c>
      <c r="H1084" s="7">
        <v>615</v>
      </c>
      <c r="I1084" s="11">
        <v>0.16</v>
      </c>
    </row>
    <row r="1085" spans="1:9">
      <c r="A1085" s="7" t="s">
        <v>1339</v>
      </c>
      <c r="B1085" s="7">
        <v>4241</v>
      </c>
      <c r="C1085" s="7" t="str">
        <f t="shared" si="50"/>
        <v>070269000</v>
      </c>
      <c r="D1085" s="7" t="s">
        <v>1341</v>
      </c>
      <c r="E1085" s="7">
        <v>5082</v>
      </c>
      <c r="F1085" s="7" t="str">
        <f>"070269127"</f>
        <v>070269127</v>
      </c>
      <c r="H1085" s="7">
        <v>557</v>
      </c>
      <c r="I1085" s="11">
        <v>0.71</v>
      </c>
    </row>
    <row r="1086" spans="1:9">
      <c r="A1086" s="7" t="s">
        <v>1339</v>
      </c>
      <c r="B1086" s="7">
        <v>4241</v>
      </c>
      <c r="C1086" s="7" t="str">
        <f t="shared" si="50"/>
        <v>070269000</v>
      </c>
      <c r="D1086" s="7" t="s">
        <v>1342</v>
      </c>
      <c r="E1086" s="7">
        <v>5074</v>
      </c>
      <c r="F1086" s="7" t="str">
        <f>"070269115"</f>
        <v>070269115</v>
      </c>
      <c r="H1086" s="7">
        <v>644</v>
      </c>
      <c r="I1086" s="11">
        <v>0.77</v>
      </c>
    </row>
    <row r="1087" spans="1:9">
      <c r="A1087" s="7" t="s">
        <v>1339</v>
      </c>
      <c r="B1087" s="7">
        <v>4241</v>
      </c>
      <c r="C1087" s="7" t="str">
        <f t="shared" si="50"/>
        <v>070269000</v>
      </c>
      <c r="D1087" s="7" t="s">
        <v>1343</v>
      </c>
      <c r="E1087" s="7">
        <v>5083</v>
      </c>
      <c r="F1087" s="7" t="str">
        <f>"070269128"</f>
        <v>070269128</v>
      </c>
      <c r="H1087" s="7">
        <v>446</v>
      </c>
      <c r="I1087" s="11">
        <v>0.15</v>
      </c>
    </row>
    <row r="1088" spans="1:9">
      <c r="A1088" s="7" t="s">
        <v>1339</v>
      </c>
      <c r="B1088" s="7">
        <v>4241</v>
      </c>
      <c r="C1088" s="7" t="str">
        <f t="shared" si="50"/>
        <v>070269000</v>
      </c>
      <c r="D1088" s="7" t="s">
        <v>1344</v>
      </c>
      <c r="E1088" s="7">
        <v>5080</v>
      </c>
      <c r="F1088" s="7" t="str">
        <f>"070269125"</f>
        <v>070269125</v>
      </c>
      <c r="H1088" s="7">
        <v>407</v>
      </c>
      <c r="I1088" s="11">
        <v>0.43</v>
      </c>
    </row>
    <row r="1089" spans="1:9" ht="28.5">
      <c r="A1089" s="7" t="s">
        <v>1339</v>
      </c>
      <c r="B1089" s="7">
        <v>4241</v>
      </c>
      <c r="C1089" s="7" t="str">
        <f t="shared" si="50"/>
        <v>070269000</v>
      </c>
      <c r="D1089" s="7" t="s">
        <v>1345</v>
      </c>
      <c r="E1089" s="7">
        <v>5085</v>
      </c>
      <c r="F1089" s="7" t="str">
        <f>"070269130"</f>
        <v>070269130</v>
      </c>
      <c r="H1089" s="7">
        <v>508</v>
      </c>
      <c r="I1089" s="11">
        <v>0.18</v>
      </c>
    </row>
    <row r="1090" spans="1:9">
      <c r="A1090" s="7" t="s">
        <v>1339</v>
      </c>
      <c r="B1090" s="7">
        <v>4241</v>
      </c>
      <c r="C1090" s="7" t="str">
        <f t="shared" si="50"/>
        <v>070269000</v>
      </c>
      <c r="D1090" s="7" t="s">
        <v>1293</v>
      </c>
      <c r="E1090" s="7">
        <v>5099</v>
      </c>
      <c r="F1090" s="7" t="str">
        <f>"070269170"</f>
        <v>070269170</v>
      </c>
      <c r="H1090" s="7">
        <v>740</v>
      </c>
      <c r="I1090" s="11">
        <v>0.17</v>
      </c>
    </row>
    <row r="1091" spans="1:9" ht="28.5">
      <c r="A1091" s="7" t="s">
        <v>1339</v>
      </c>
      <c r="B1091" s="7">
        <v>4241</v>
      </c>
      <c r="C1091" s="7" t="str">
        <f t="shared" si="50"/>
        <v>070269000</v>
      </c>
      <c r="D1091" s="7" t="s">
        <v>1346</v>
      </c>
      <c r="E1091" s="7">
        <v>5098</v>
      </c>
      <c r="F1091" s="7" t="str">
        <f>"070269159"</f>
        <v>070269159</v>
      </c>
      <c r="H1091" s="7">
        <v>376</v>
      </c>
      <c r="I1091" s="11">
        <v>0.22</v>
      </c>
    </row>
    <row r="1092" spans="1:9">
      <c r="A1092" s="7" t="s">
        <v>1339</v>
      </c>
      <c r="B1092" s="7">
        <v>4241</v>
      </c>
      <c r="C1092" s="7" t="str">
        <f t="shared" si="50"/>
        <v>070269000</v>
      </c>
      <c r="D1092" s="7" t="s">
        <v>1347</v>
      </c>
      <c r="E1092" s="7">
        <v>5087</v>
      </c>
      <c r="F1092" s="7" t="str">
        <f>"070269138"</f>
        <v>070269138</v>
      </c>
      <c r="H1092" s="7">
        <v>699</v>
      </c>
      <c r="I1092" s="11">
        <v>0.12</v>
      </c>
    </row>
    <row r="1093" spans="1:9">
      <c r="A1093" s="7" t="s">
        <v>1339</v>
      </c>
      <c r="B1093" s="7">
        <v>4241</v>
      </c>
      <c r="C1093" s="7" t="str">
        <f t="shared" si="50"/>
        <v>070269000</v>
      </c>
      <c r="D1093" s="7" t="s">
        <v>1348</v>
      </c>
      <c r="E1093" s="7">
        <v>5078</v>
      </c>
      <c r="F1093" s="7" t="str">
        <f>"070269123"</f>
        <v>070269123</v>
      </c>
      <c r="H1093" s="7">
        <v>372</v>
      </c>
      <c r="I1093" s="11">
        <v>0.72</v>
      </c>
    </row>
    <row r="1094" spans="1:9">
      <c r="A1094" s="7" t="s">
        <v>1339</v>
      </c>
      <c r="B1094" s="7">
        <v>4241</v>
      </c>
      <c r="C1094" s="7" t="str">
        <f t="shared" si="50"/>
        <v>070269000</v>
      </c>
      <c r="D1094" s="7" t="s">
        <v>1349</v>
      </c>
      <c r="E1094" s="7">
        <v>80055</v>
      </c>
      <c r="F1094" s="7" t="str">
        <f>"070269136"</f>
        <v>070269136</v>
      </c>
      <c r="H1094" s="7">
        <v>362</v>
      </c>
      <c r="I1094" s="11">
        <v>0.81</v>
      </c>
    </row>
    <row r="1095" spans="1:9">
      <c r="A1095" s="7" t="s">
        <v>1339</v>
      </c>
      <c r="B1095" s="7">
        <v>4241</v>
      </c>
      <c r="C1095" s="7" t="str">
        <f t="shared" si="50"/>
        <v>070269000</v>
      </c>
      <c r="D1095" s="7" t="s">
        <v>1350</v>
      </c>
      <c r="E1095" s="7">
        <v>5093</v>
      </c>
      <c r="F1095" s="7" t="str">
        <f>"070269146"</f>
        <v>070269146</v>
      </c>
      <c r="H1095" s="7">
        <v>540</v>
      </c>
      <c r="I1095" s="11">
        <v>0.75</v>
      </c>
    </row>
    <row r="1096" spans="1:9">
      <c r="A1096" s="7" t="s">
        <v>1339</v>
      </c>
      <c r="B1096" s="7">
        <v>4241</v>
      </c>
      <c r="C1096" s="7" t="str">
        <f t="shared" si="50"/>
        <v>070269000</v>
      </c>
      <c r="D1096" s="7" t="s">
        <v>1351</v>
      </c>
      <c r="E1096" s="7">
        <v>5102</v>
      </c>
      <c r="F1096" s="7" t="str">
        <f>"070269177"</f>
        <v>070269177</v>
      </c>
      <c r="H1096" s="7">
        <v>646</v>
      </c>
      <c r="I1096" s="11">
        <v>0.11</v>
      </c>
    </row>
    <row r="1097" spans="1:9">
      <c r="A1097" s="7" t="s">
        <v>1339</v>
      </c>
      <c r="B1097" s="7">
        <v>4241</v>
      </c>
      <c r="C1097" s="7" t="str">
        <f t="shared" si="50"/>
        <v>070269000</v>
      </c>
      <c r="D1097" s="7" t="s">
        <v>1352</v>
      </c>
      <c r="E1097" s="7">
        <v>91754</v>
      </c>
      <c r="F1097" s="7" t="str">
        <f>"070269113"</f>
        <v>070269113</v>
      </c>
      <c r="H1097" s="7">
        <v>736</v>
      </c>
      <c r="I1097" s="11">
        <v>0.11</v>
      </c>
    </row>
    <row r="1098" spans="1:9">
      <c r="A1098" s="7" t="s">
        <v>1339</v>
      </c>
      <c r="B1098" s="7">
        <v>4241</v>
      </c>
      <c r="C1098" s="7" t="str">
        <f t="shared" si="50"/>
        <v>070269000</v>
      </c>
      <c r="D1098" s="7" t="s">
        <v>1353</v>
      </c>
      <c r="E1098" s="7">
        <v>6011</v>
      </c>
      <c r="F1098" s="7" t="str">
        <f>"070269141"</f>
        <v>070269141</v>
      </c>
      <c r="H1098" s="7">
        <v>408</v>
      </c>
      <c r="I1098" s="11">
        <v>0.14000000000000001</v>
      </c>
    </row>
    <row r="1099" spans="1:9">
      <c r="A1099" s="7" t="s">
        <v>1339</v>
      </c>
      <c r="B1099" s="7">
        <v>4241</v>
      </c>
      <c r="C1099" s="7" t="str">
        <f t="shared" si="50"/>
        <v>070269000</v>
      </c>
      <c r="D1099" s="7" t="s">
        <v>1354</v>
      </c>
      <c r="E1099" s="7">
        <v>5101</v>
      </c>
      <c r="F1099" s="7" t="str">
        <f>"070269175"</f>
        <v>070269175</v>
      </c>
      <c r="H1099" s="7">
        <v>451</v>
      </c>
      <c r="I1099" s="11">
        <v>0.83</v>
      </c>
    </row>
    <row r="1100" spans="1:9">
      <c r="A1100" s="7" t="s">
        <v>1339</v>
      </c>
      <c r="B1100" s="7">
        <v>4241</v>
      </c>
      <c r="C1100" s="7" t="str">
        <f t="shared" si="50"/>
        <v>070269000</v>
      </c>
      <c r="D1100" s="7" t="s">
        <v>1355</v>
      </c>
      <c r="E1100" s="7">
        <v>5079</v>
      </c>
      <c r="F1100" s="7" t="str">
        <f>"070269124"</f>
        <v>070269124</v>
      </c>
      <c r="H1100" s="7">
        <v>307</v>
      </c>
      <c r="I1100" s="11">
        <v>0.64</v>
      </c>
    </row>
    <row r="1101" spans="1:9">
      <c r="A1101" s="7" t="s">
        <v>1339</v>
      </c>
      <c r="B1101" s="7">
        <v>4241</v>
      </c>
      <c r="C1101" s="7" t="str">
        <f t="shared" si="50"/>
        <v>070269000</v>
      </c>
      <c r="D1101" s="7" t="s">
        <v>1356</v>
      </c>
      <c r="E1101" s="7">
        <v>5106</v>
      </c>
      <c r="F1101" s="7" t="str">
        <f>"070269293"</f>
        <v>070269293</v>
      </c>
      <c r="H1101" s="7">
        <v>1898</v>
      </c>
      <c r="I1101" s="11">
        <v>0.15</v>
      </c>
    </row>
    <row r="1102" spans="1:9">
      <c r="A1102" s="7" t="s">
        <v>1339</v>
      </c>
      <c r="B1102" s="7">
        <v>4241</v>
      </c>
      <c r="C1102" s="7" t="str">
        <f t="shared" si="50"/>
        <v>070269000</v>
      </c>
      <c r="D1102" s="7" t="s">
        <v>1357</v>
      </c>
      <c r="E1102" s="7">
        <v>5086</v>
      </c>
      <c r="F1102" s="7" t="str">
        <f>"070269135"</f>
        <v>070269135</v>
      </c>
      <c r="H1102" s="7">
        <v>600</v>
      </c>
      <c r="I1102" s="11">
        <v>0.73</v>
      </c>
    </row>
    <row r="1103" spans="1:9">
      <c r="A1103" s="7" t="s">
        <v>1339</v>
      </c>
      <c r="B1103" s="7">
        <v>4241</v>
      </c>
      <c r="C1103" s="7" t="str">
        <f t="shared" si="50"/>
        <v>070269000</v>
      </c>
      <c r="D1103" s="7" t="s">
        <v>1358</v>
      </c>
      <c r="E1103" s="7">
        <v>5089</v>
      </c>
      <c r="F1103" s="7" t="str">
        <f>"070269140"</f>
        <v>070269140</v>
      </c>
      <c r="H1103" s="7">
        <v>341</v>
      </c>
      <c r="I1103" s="11">
        <v>0.7</v>
      </c>
    </row>
    <row r="1104" spans="1:9">
      <c r="A1104" s="7" t="s">
        <v>1339</v>
      </c>
      <c r="B1104" s="7">
        <v>4241</v>
      </c>
      <c r="C1104" s="7" t="str">
        <f t="shared" si="50"/>
        <v>070269000</v>
      </c>
      <c r="D1104" s="7" t="s">
        <v>1057</v>
      </c>
      <c r="E1104" s="7">
        <v>5090</v>
      </c>
      <c r="F1104" s="7" t="str">
        <f>"070269143"</f>
        <v>070269143</v>
      </c>
      <c r="H1104" s="7">
        <v>351</v>
      </c>
      <c r="I1104" s="11">
        <v>0.33</v>
      </c>
    </row>
    <row r="1105" spans="1:9">
      <c r="A1105" s="7" t="s">
        <v>1339</v>
      </c>
      <c r="B1105" s="7">
        <v>4241</v>
      </c>
      <c r="C1105" s="7" t="str">
        <f t="shared" si="50"/>
        <v>070269000</v>
      </c>
      <c r="D1105" s="7" t="s">
        <v>1359</v>
      </c>
      <c r="E1105" s="7">
        <v>5092</v>
      </c>
      <c r="F1105" s="7" t="str">
        <f>"070269145"</f>
        <v>070269145</v>
      </c>
      <c r="H1105" s="7">
        <v>519</v>
      </c>
      <c r="I1105" s="11">
        <v>0.19</v>
      </c>
    </row>
    <row r="1106" spans="1:9">
      <c r="A1106" s="7" t="s">
        <v>1339</v>
      </c>
      <c r="B1106" s="7">
        <v>4241</v>
      </c>
      <c r="C1106" s="7" t="str">
        <f t="shared" si="50"/>
        <v>070269000</v>
      </c>
      <c r="D1106" s="7" t="s">
        <v>1360</v>
      </c>
      <c r="E1106" s="7">
        <v>79729</v>
      </c>
      <c r="F1106" s="7" t="str">
        <f>"070269173"</f>
        <v>070269173</v>
      </c>
      <c r="H1106" s="7">
        <v>727</v>
      </c>
      <c r="I1106" s="11">
        <v>0.33</v>
      </c>
    </row>
    <row r="1107" spans="1:9">
      <c r="A1107" s="7" t="s">
        <v>1339</v>
      </c>
      <c r="B1107" s="7">
        <v>4241</v>
      </c>
      <c r="C1107" s="7" t="str">
        <f t="shared" si="50"/>
        <v>070269000</v>
      </c>
      <c r="D1107" s="7" t="s">
        <v>1361</v>
      </c>
      <c r="E1107" s="7">
        <v>5107</v>
      </c>
      <c r="F1107" s="7" t="str">
        <f>"070269294"</f>
        <v>070269294</v>
      </c>
      <c r="H1107" s="7">
        <v>1830</v>
      </c>
      <c r="I1107" s="11">
        <v>0.68</v>
      </c>
    </row>
    <row r="1108" spans="1:9">
      <c r="A1108" s="7" t="s">
        <v>1339</v>
      </c>
      <c r="B1108" s="7">
        <v>4241</v>
      </c>
      <c r="C1108" s="7" t="str">
        <f t="shared" si="50"/>
        <v>070269000</v>
      </c>
      <c r="D1108" s="7" t="s">
        <v>1362</v>
      </c>
      <c r="E1108" s="7">
        <v>5077</v>
      </c>
      <c r="F1108" s="7" t="str">
        <f>"070269122"</f>
        <v>070269122</v>
      </c>
      <c r="H1108" s="7">
        <v>510</v>
      </c>
      <c r="I1108" s="11">
        <v>0.15</v>
      </c>
    </row>
    <row r="1109" spans="1:9">
      <c r="A1109" s="7" t="s">
        <v>1339</v>
      </c>
      <c r="B1109" s="7">
        <v>4241</v>
      </c>
      <c r="C1109" s="7" t="str">
        <f t="shared" si="50"/>
        <v>070269000</v>
      </c>
      <c r="D1109" s="7" t="s">
        <v>1363</v>
      </c>
      <c r="E1109" s="7">
        <v>81026</v>
      </c>
      <c r="F1109" s="7" t="str">
        <f>"070269151"</f>
        <v>070269151</v>
      </c>
      <c r="H1109" s="7">
        <v>406</v>
      </c>
      <c r="I1109" s="11">
        <v>0.84</v>
      </c>
    </row>
    <row r="1110" spans="1:9">
      <c r="A1110" s="7" t="s">
        <v>1339</v>
      </c>
      <c r="B1110" s="7">
        <v>4241</v>
      </c>
      <c r="C1110" s="7" t="str">
        <f t="shared" si="50"/>
        <v>070269000</v>
      </c>
      <c r="D1110" s="7" t="s">
        <v>1364</v>
      </c>
      <c r="E1110" s="7">
        <v>5094</v>
      </c>
      <c r="F1110" s="7" t="str">
        <f>"070269150"</f>
        <v>070269150</v>
      </c>
      <c r="H1110" s="7">
        <v>628</v>
      </c>
      <c r="I1110" s="11">
        <v>0.88</v>
      </c>
    </row>
    <row r="1111" spans="1:9">
      <c r="A1111" s="7" t="s">
        <v>1339</v>
      </c>
      <c r="B1111" s="7">
        <v>4241</v>
      </c>
      <c r="C1111" s="7" t="str">
        <f t="shared" si="50"/>
        <v>070269000</v>
      </c>
      <c r="D1111" s="7" t="s">
        <v>1365</v>
      </c>
      <c r="E1111" s="7">
        <v>5105</v>
      </c>
      <c r="F1111" s="7" t="str">
        <f>"070269290"</f>
        <v>070269290</v>
      </c>
      <c r="H1111" s="7">
        <v>1949</v>
      </c>
      <c r="I1111" s="11">
        <v>0.41</v>
      </c>
    </row>
    <row r="1112" spans="1:9">
      <c r="A1112" s="7" t="s">
        <v>1339</v>
      </c>
      <c r="B1112" s="7">
        <v>4241</v>
      </c>
      <c r="C1112" s="7" t="str">
        <f t="shared" si="50"/>
        <v>070269000</v>
      </c>
      <c r="D1112" s="7" t="s">
        <v>1366</v>
      </c>
      <c r="E1112" s="7">
        <v>79268</v>
      </c>
      <c r="F1112" s="7" t="str">
        <f>"070269292"</f>
        <v>070269292</v>
      </c>
      <c r="H1112" s="7">
        <v>2531</v>
      </c>
      <c r="I1112" s="11">
        <v>0.14000000000000001</v>
      </c>
    </row>
    <row r="1113" spans="1:9">
      <c r="A1113" s="7" t="s">
        <v>1339</v>
      </c>
      <c r="B1113" s="7">
        <v>4241</v>
      </c>
      <c r="C1113" s="7" t="str">
        <f t="shared" si="50"/>
        <v>070269000</v>
      </c>
      <c r="D1113" s="7" t="s">
        <v>1367</v>
      </c>
      <c r="E1113" s="7">
        <v>79781</v>
      </c>
      <c r="F1113" s="7" t="str">
        <f>"070269148"</f>
        <v>070269148</v>
      </c>
      <c r="H1113" s="7">
        <v>489</v>
      </c>
      <c r="I1113" s="11">
        <v>0.08</v>
      </c>
    </row>
    <row r="1114" spans="1:9">
      <c r="A1114" s="7" t="s">
        <v>1339</v>
      </c>
      <c r="B1114" s="7">
        <v>4241</v>
      </c>
      <c r="C1114" s="7" t="str">
        <f t="shared" si="50"/>
        <v>070269000</v>
      </c>
      <c r="D1114" s="7" t="s">
        <v>1124</v>
      </c>
      <c r="E1114" s="7">
        <v>5081</v>
      </c>
      <c r="F1114" s="7" t="str">
        <f>"070269126"</f>
        <v>070269126</v>
      </c>
      <c r="H1114" s="7">
        <v>522</v>
      </c>
      <c r="I1114" s="11">
        <v>0.33</v>
      </c>
    </row>
    <row r="1115" spans="1:9">
      <c r="A1115" s="7" t="s">
        <v>1339</v>
      </c>
      <c r="B1115" s="7">
        <v>4241</v>
      </c>
      <c r="C1115" s="7" t="str">
        <f t="shared" si="50"/>
        <v>070269000</v>
      </c>
      <c r="D1115" s="7" t="s">
        <v>1368</v>
      </c>
      <c r="E1115" s="7">
        <v>5071</v>
      </c>
      <c r="F1115" s="7" t="str">
        <f>"070269055"</f>
        <v>070269055</v>
      </c>
      <c r="H1115" s="7">
        <v>306</v>
      </c>
      <c r="I1115" s="11">
        <v>0.43</v>
      </c>
    </row>
    <row r="1116" spans="1:9">
      <c r="A1116" s="7" t="s">
        <v>1339</v>
      </c>
      <c r="B1116" s="7">
        <v>4241</v>
      </c>
      <c r="C1116" s="7" t="str">
        <f t="shared" si="50"/>
        <v>070269000</v>
      </c>
      <c r="D1116" s="7" t="s">
        <v>1369</v>
      </c>
      <c r="E1116" s="7">
        <v>5095</v>
      </c>
      <c r="F1116" s="7" t="str">
        <f>"070269156"</f>
        <v>070269156</v>
      </c>
      <c r="H1116" s="7">
        <v>462</v>
      </c>
      <c r="I1116" s="11">
        <v>0.18</v>
      </c>
    </row>
    <row r="1117" spans="1:9">
      <c r="A1117" s="7" t="s">
        <v>1339</v>
      </c>
      <c r="B1117" s="7">
        <v>4241</v>
      </c>
      <c r="C1117" s="7" t="str">
        <f t="shared" si="50"/>
        <v>070269000</v>
      </c>
      <c r="D1117" s="7" t="s">
        <v>1370</v>
      </c>
      <c r="E1117" s="7">
        <v>5108</v>
      </c>
      <c r="F1117" s="7" t="str">
        <f>"070269295"</f>
        <v>070269295</v>
      </c>
      <c r="H1117" s="7">
        <v>1184</v>
      </c>
      <c r="I1117" s="11">
        <v>0.39</v>
      </c>
    </row>
    <row r="1118" spans="1:9">
      <c r="A1118" s="7" t="s">
        <v>1339</v>
      </c>
      <c r="B1118" s="7">
        <v>4241</v>
      </c>
      <c r="C1118" s="7" t="str">
        <f t="shared" si="50"/>
        <v>070269000</v>
      </c>
      <c r="D1118" s="7" t="s">
        <v>1371</v>
      </c>
      <c r="E1118" s="7">
        <v>5104</v>
      </c>
      <c r="F1118" s="7" t="str">
        <f>"070269180"</f>
        <v>070269180</v>
      </c>
      <c r="H1118" s="7">
        <v>488</v>
      </c>
      <c r="I1118" s="11">
        <v>0.42</v>
      </c>
    </row>
    <row r="1119" spans="1:9">
      <c r="A1119" s="7" t="s">
        <v>1339</v>
      </c>
      <c r="B1119" s="7">
        <v>4241</v>
      </c>
      <c r="C1119" s="7" t="str">
        <f t="shared" si="50"/>
        <v>070269000</v>
      </c>
      <c r="D1119" s="7" t="s">
        <v>1372</v>
      </c>
      <c r="E1119" s="7">
        <v>1001667</v>
      </c>
      <c r="F1119" s="7" t="str">
        <f>"070269133"</f>
        <v>070269133</v>
      </c>
      <c r="H1119" s="7">
        <v>588</v>
      </c>
      <c r="I1119" s="11">
        <v>0.06</v>
      </c>
    </row>
    <row r="1120" spans="1:9">
      <c r="A1120" s="7" t="s">
        <v>1339</v>
      </c>
      <c r="B1120" s="7">
        <v>4241</v>
      </c>
      <c r="C1120" s="7" t="str">
        <f t="shared" si="50"/>
        <v>070269000</v>
      </c>
      <c r="D1120" s="7" t="s">
        <v>1373</v>
      </c>
      <c r="E1120" s="7">
        <v>5084</v>
      </c>
      <c r="F1120" s="7" t="str">
        <f>"070269129"</f>
        <v>070269129</v>
      </c>
      <c r="H1120" s="7">
        <v>523</v>
      </c>
      <c r="I1120" s="11">
        <v>0.12</v>
      </c>
    </row>
    <row r="1121" spans="1:9">
      <c r="A1121" s="7" t="s">
        <v>1339</v>
      </c>
      <c r="B1121" s="7">
        <v>4241</v>
      </c>
      <c r="C1121" s="7" t="str">
        <f t="shared" si="50"/>
        <v>070269000</v>
      </c>
      <c r="D1121" s="7" t="s">
        <v>1374</v>
      </c>
      <c r="E1121" s="7">
        <v>5103</v>
      </c>
      <c r="F1121" s="7" t="str">
        <f>"070269178"</f>
        <v>070269178</v>
      </c>
      <c r="H1121" s="7">
        <v>394</v>
      </c>
      <c r="I1121" s="11">
        <v>0.36</v>
      </c>
    </row>
    <row r="1122" spans="1:9">
      <c r="A1122" s="7" t="s">
        <v>1339</v>
      </c>
      <c r="B1122" s="7">
        <v>4241</v>
      </c>
      <c r="C1122" s="7" t="str">
        <f t="shared" si="50"/>
        <v>070269000</v>
      </c>
      <c r="D1122" s="7" t="s">
        <v>1375</v>
      </c>
      <c r="E1122" s="7">
        <v>78920</v>
      </c>
      <c r="F1122" s="7" t="str">
        <f>"070269142"</f>
        <v>070269142</v>
      </c>
      <c r="H1122" s="7">
        <v>344</v>
      </c>
      <c r="I1122" s="11">
        <v>0.66</v>
      </c>
    </row>
    <row r="1123" spans="1:9">
      <c r="A1123" s="7" t="s">
        <v>1339</v>
      </c>
      <c r="B1123" s="7">
        <v>4241</v>
      </c>
      <c r="C1123" s="7" t="str">
        <f t="shared" si="50"/>
        <v>070269000</v>
      </c>
      <c r="D1123" s="7" t="s">
        <v>1376</v>
      </c>
      <c r="E1123" s="7">
        <v>92611</v>
      </c>
      <c r="F1123" s="7" t="str">
        <f>"070269065"</f>
        <v>070269065</v>
      </c>
      <c r="H1123" s="7">
        <v>226</v>
      </c>
      <c r="I1123" s="11">
        <v>0.64</v>
      </c>
    </row>
    <row r="1124" spans="1:9" ht="28.5">
      <c r="A1124" s="7" t="s">
        <v>1339</v>
      </c>
      <c r="B1124" s="7">
        <v>4241</v>
      </c>
      <c r="C1124" s="7" t="str">
        <f t="shared" si="50"/>
        <v>070269000</v>
      </c>
      <c r="D1124" s="7" t="s">
        <v>1377</v>
      </c>
      <c r="E1124" s="7">
        <v>1001950</v>
      </c>
      <c r="F1124" s="7" t="str">
        <f>"072190005"</f>
        <v>072190005</v>
      </c>
      <c r="H1124" s="7">
        <v>176</v>
      </c>
      <c r="I1124" s="11">
        <v>0.37</v>
      </c>
    </row>
    <row r="1125" spans="1:9">
      <c r="A1125" s="7" t="s">
        <v>1339</v>
      </c>
      <c r="B1125" s="7">
        <v>4241</v>
      </c>
      <c r="C1125" s="7" t="str">
        <f t="shared" si="50"/>
        <v>070269000</v>
      </c>
      <c r="D1125" s="7" t="s">
        <v>1378</v>
      </c>
      <c r="E1125" s="7">
        <v>5100</v>
      </c>
      <c r="F1125" s="7" t="str">
        <f>"070269171"</f>
        <v>070269171</v>
      </c>
      <c r="H1125" s="7">
        <v>467</v>
      </c>
      <c r="I1125" s="11">
        <v>0.76</v>
      </c>
    </row>
    <row r="1126" spans="1:9">
      <c r="A1126" s="7" t="s">
        <v>1339</v>
      </c>
      <c r="B1126" s="7">
        <v>4241</v>
      </c>
      <c r="C1126" s="7" t="str">
        <f t="shared" si="50"/>
        <v>070269000</v>
      </c>
      <c r="D1126" s="7" t="s">
        <v>1379</v>
      </c>
      <c r="E1126" s="7">
        <v>5088</v>
      </c>
      <c r="F1126" s="7" t="str">
        <f>"070269139"</f>
        <v>070269139</v>
      </c>
      <c r="H1126" s="7">
        <v>486</v>
      </c>
      <c r="I1126" s="11">
        <v>0.55000000000000004</v>
      </c>
    </row>
    <row r="1127" spans="1:9">
      <c r="A1127" s="7" t="s">
        <v>1339</v>
      </c>
      <c r="B1127" s="7">
        <v>4241</v>
      </c>
      <c r="C1127" s="7" t="str">
        <f t="shared" si="50"/>
        <v>070269000</v>
      </c>
      <c r="D1127" s="7" t="s">
        <v>1380</v>
      </c>
      <c r="E1127" s="7">
        <v>88406</v>
      </c>
      <c r="F1127" s="7" t="str">
        <f>"070269132"</f>
        <v>070269132</v>
      </c>
      <c r="H1127" s="7">
        <v>466</v>
      </c>
      <c r="I1127" s="11">
        <v>0.16</v>
      </c>
    </row>
    <row r="1128" spans="1:9" ht="28.5">
      <c r="A1128" s="7" t="s">
        <v>1381</v>
      </c>
      <c r="B1128" s="7">
        <v>5180</v>
      </c>
      <c r="C1128" s="7" t="str">
        <f>"078912000"</f>
        <v>078912000</v>
      </c>
      <c r="D1128" s="7" t="s">
        <v>1382</v>
      </c>
      <c r="E1128" s="7">
        <v>10820</v>
      </c>
      <c r="F1128" s="7" t="str">
        <f>"078912101"</f>
        <v>078912101</v>
      </c>
      <c r="H1128" s="7">
        <v>1928</v>
      </c>
      <c r="I1128" s="11">
        <v>0.19</v>
      </c>
    </row>
    <row r="1129" spans="1:9">
      <c r="A1129" s="7" t="s">
        <v>1381</v>
      </c>
      <c r="B1129" s="7">
        <v>5180</v>
      </c>
      <c r="C1129" s="7" t="str">
        <f>"078912000"</f>
        <v>078912000</v>
      </c>
      <c r="D1129" s="7" t="s">
        <v>1383</v>
      </c>
      <c r="E1129" s="7">
        <v>89828</v>
      </c>
      <c r="F1129" s="7" t="str">
        <f>"078912103"</f>
        <v>078912103</v>
      </c>
      <c r="H1129" s="7">
        <v>980</v>
      </c>
      <c r="I1129" s="11">
        <v>0.12</v>
      </c>
    </row>
    <row r="1130" spans="1:9">
      <c r="A1130" s="7" t="s">
        <v>1384</v>
      </c>
      <c r="B1130" s="7">
        <v>4510</v>
      </c>
      <c r="C1130" s="7" t="str">
        <f>"150227000"</f>
        <v>150227000</v>
      </c>
      <c r="D1130" s="7" t="s">
        <v>1385</v>
      </c>
      <c r="E1130" s="7">
        <v>6194</v>
      </c>
      <c r="F1130" s="7" t="str">
        <f>"150227101"</f>
        <v>150227101</v>
      </c>
      <c r="H1130" s="7">
        <v>370</v>
      </c>
      <c r="I1130" s="11">
        <v>0.75</v>
      </c>
    </row>
    <row r="1131" spans="1:9">
      <c r="A1131" s="7" t="s">
        <v>1384</v>
      </c>
      <c r="B1131" s="7">
        <v>4510</v>
      </c>
      <c r="C1131" s="7" t="str">
        <f>"150227000"</f>
        <v>150227000</v>
      </c>
      <c r="D1131" s="7" t="s">
        <v>1386</v>
      </c>
      <c r="E1131" s="7">
        <v>6196</v>
      </c>
      <c r="F1131" s="7" t="str">
        <f>"150227103"</f>
        <v>150227103</v>
      </c>
      <c r="H1131" s="7">
        <v>212</v>
      </c>
      <c r="I1131" s="11">
        <v>0.91</v>
      </c>
    </row>
    <row r="1132" spans="1:9">
      <c r="A1132" s="7" t="s">
        <v>1384</v>
      </c>
      <c r="B1132" s="7">
        <v>4510</v>
      </c>
      <c r="C1132" s="7" t="str">
        <f>"150227000"</f>
        <v>150227000</v>
      </c>
      <c r="D1132" s="7" t="s">
        <v>1387</v>
      </c>
      <c r="E1132" s="7">
        <v>6197</v>
      </c>
      <c r="F1132" s="7" t="str">
        <f>"150227204"</f>
        <v>150227204</v>
      </c>
      <c r="H1132" s="7">
        <v>547</v>
      </c>
      <c r="I1132" s="11">
        <v>0.72</v>
      </c>
    </row>
    <row r="1133" spans="1:9">
      <c r="A1133" s="7" t="s">
        <v>1384</v>
      </c>
      <c r="B1133" s="7">
        <v>4510</v>
      </c>
      <c r="C1133" s="7" t="str">
        <f>"150227000"</f>
        <v>150227000</v>
      </c>
      <c r="D1133" s="7" t="s">
        <v>1388</v>
      </c>
      <c r="E1133" s="7">
        <v>6195</v>
      </c>
      <c r="F1133" s="7" t="str">
        <f>"150227102"</f>
        <v>150227102</v>
      </c>
      <c r="H1133" s="7">
        <v>326</v>
      </c>
      <c r="I1133" s="11">
        <v>0.84</v>
      </c>
    </row>
    <row r="1134" spans="1:9">
      <c r="A1134" s="7" t="s">
        <v>1384</v>
      </c>
      <c r="B1134" s="7">
        <v>4510</v>
      </c>
      <c r="C1134" s="7" t="str">
        <f>"150227000"</f>
        <v>150227000</v>
      </c>
      <c r="D1134" s="7" t="s">
        <v>1389</v>
      </c>
      <c r="E1134" s="7">
        <v>78929</v>
      </c>
      <c r="F1134" s="7" t="str">
        <f>"150227105"</f>
        <v>150227105</v>
      </c>
      <c r="H1134" s="7">
        <v>304</v>
      </c>
      <c r="I1134" s="11">
        <v>0.82</v>
      </c>
    </row>
    <row r="1135" spans="1:9">
      <c r="A1135" s="7" t="s">
        <v>1390</v>
      </c>
      <c r="B1135" s="7">
        <v>4462</v>
      </c>
      <c r="C1135" s="7" t="str">
        <f>"120520000"</f>
        <v>120520000</v>
      </c>
      <c r="D1135" s="7" t="s">
        <v>1391</v>
      </c>
      <c r="E1135" s="7">
        <v>5968</v>
      </c>
      <c r="F1135" s="7" t="str">
        <f>"120406101"</f>
        <v>120406101</v>
      </c>
      <c r="G1135" s="7" t="s">
        <v>26</v>
      </c>
      <c r="H1135" s="7">
        <v>112</v>
      </c>
      <c r="I1135" s="11">
        <v>0.67</v>
      </c>
    </row>
    <row r="1136" spans="1:9">
      <c r="A1136" s="7" t="s">
        <v>1390</v>
      </c>
      <c r="B1136" s="7">
        <v>4462</v>
      </c>
      <c r="C1136" s="7" t="str">
        <f>"120520000"</f>
        <v>120520000</v>
      </c>
      <c r="D1136" s="7" t="s">
        <v>1392</v>
      </c>
      <c r="E1136" s="7">
        <v>5971</v>
      </c>
      <c r="F1136" s="7" t="str">
        <f>"120520201"</f>
        <v>120520201</v>
      </c>
      <c r="H1136" s="7">
        <v>81</v>
      </c>
      <c r="I1136" s="11">
        <v>0.7</v>
      </c>
    </row>
    <row r="1137" spans="1:9" ht="28.5">
      <c r="A1137" s="7" t="s">
        <v>1393</v>
      </c>
      <c r="B1137" s="7">
        <v>79024</v>
      </c>
      <c r="C1137" s="7" t="str">
        <f>"078792000"</f>
        <v>078792000</v>
      </c>
      <c r="D1137" s="7" t="s">
        <v>1394</v>
      </c>
      <c r="E1137" s="7">
        <v>79509</v>
      </c>
      <c r="F1137" s="7" t="str">
        <f>"078792101"</f>
        <v>078792101</v>
      </c>
      <c r="G1137" s="7" t="s">
        <v>16</v>
      </c>
      <c r="H1137" s="7">
        <v>454</v>
      </c>
      <c r="I1137" s="12">
        <v>0.95</v>
      </c>
    </row>
    <row r="1138" spans="1:9">
      <c r="A1138" s="7" t="s">
        <v>1395</v>
      </c>
      <c r="B1138" s="7">
        <v>4209</v>
      </c>
      <c r="C1138" s="7" t="str">
        <f>"040210000"</f>
        <v>040210000</v>
      </c>
      <c r="D1138" s="7" t="s">
        <v>1396</v>
      </c>
      <c r="E1138" s="7">
        <v>4857</v>
      </c>
      <c r="F1138" s="7" t="str">
        <f>"040210103"</f>
        <v>040210103</v>
      </c>
      <c r="H1138" s="7">
        <v>587</v>
      </c>
      <c r="I1138" s="11">
        <v>0.68</v>
      </c>
    </row>
    <row r="1139" spans="1:9">
      <c r="A1139" s="7" t="s">
        <v>1395</v>
      </c>
      <c r="B1139" s="7">
        <v>4209</v>
      </c>
      <c r="C1139" s="7" t="str">
        <f>"040210000"</f>
        <v>040210000</v>
      </c>
      <c r="D1139" s="7" t="s">
        <v>1397</v>
      </c>
      <c r="E1139" s="7">
        <v>4858</v>
      </c>
      <c r="F1139" s="7" t="str">
        <f>"040210104"</f>
        <v>040210104</v>
      </c>
      <c r="H1139" s="7">
        <v>413</v>
      </c>
      <c r="I1139" s="11">
        <v>0.68</v>
      </c>
    </row>
    <row r="1140" spans="1:9">
      <c r="A1140" s="7" t="s">
        <v>1395</v>
      </c>
      <c r="B1140" s="7">
        <v>4209</v>
      </c>
      <c r="C1140" s="7" t="str">
        <f>"040210000"</f>
        <v>040210000</v>
      </c>
      <c r="D1140" s="7" t="s">
        <v>1398</v>
      </c>
      <c r="E1140" s="7">
        <v>4860</v>
      </c>
      <c r="F1140" s="7" t="str">
        <f>"040210201"</f>
        <v>040210201</v>
      </c>
      <c r="H1140" s="7">
        <v>775</v>
      </c>
      <c r="I1140" s="11">
        <v>0.52</v>
      </c>
    </row>
    <row r="1141" spans="1:9">
      <c r="A1141" s="7" t="s">
        <v>1395</v>
      </c>
      <c r="B1141" s="7">
        <v>4209</v>
      </c>
      <c r="C1141" s="7" t="str">
        <f>"040210000"</f>
        <v>040210000</v>
      </c>
      <c r="D1141" s="7" t="s">
        <v>1399</v>
      </c>
      <c r="E1141" s="7">
        <v>4856</v>
      </c>
      <c r="F1141" s="7" t="str">
        <f>"040210102"</f>
        <v>040210102</v>
      </c>
      <c r="H1141" s="7">
        <v>503</v>
      </c>
      <c r="I1141" s="11">
        <v>0.62</v>
      </c>
    </row>
    <row r="1142" spans="1:9">
      <c r="A1142" s="7" t="s">
        <v>1400</v>
      </c>
      <c r="B1142" s="7">
        <v>4369</v>
      </c>
      <c r="C1142" s="7" t="str">
        <f>"080208000"</f>
        <v>080208000</v>
      </c>
      <c r="D1142" s="7" t="s">
        <v>1401</v>
      </c>
      <c r="E1142" s="7">
        <v>79287</v>
      </c>
      <c r="F1142" s="7" t="str">
        <f>"080208002"</f>
        <v>080208002</v>
      </c>
      <c r="H1142" s="7">
        <v>80</v>
      </c>
      <c r="I1142" s="11" t="s">
        <v>17</v>
      </c>
    </row>
    <row r="1143" spans="1:9" ht="28.5">
      <c r="A1143" s="7" t="s">
        <v>1400</v>
      </c>
      <c r="B1143" s="7">
        <v>4369</v>
      </c>
      <c r="C1143" s="7" t="str">
        <f>"080208000"</f>
        <v>080208000</v>
      </c>
      <c r="D1143" s="7" t="s">
        <v>1402</v>
      </c>
      <c r="E1143" s="7">
        <v>5566</v>
      </c>
      <c r="F1143" s="7" t="str">
        <f>"080208001"</f>
        <v>080208001</v>
      </c>
      <c r="G1143" s="7" t="s">
        <v>16</v>
      </c>
      <c r="H1143" s="7">
        <v>119</v>
      </c>
      <c r="I1143" s="11" t="s">
        <v>17</v>
      </c>
    </row>
    <row r="1144" spans="1:9" ht="28.5">
      <c r="A1144" s="7" t="s">
        <v>1400</v>
      </c>
      <c r="B1144" s="7">
        <v>4369</v>
      </c>
      <c r="C1144" s="7" t="str">
        <f>"080208000"</f>
        <v>080208000</v>
      </c>
      <c r="D1144" s="7" t="s">
        <v>1403</v>
      </c>
      <c r="E1144" s="7">
        <v>5591</v>
      </c>
      <c r="F1144" s="7" t="str">
        <f>"080322001"</f>
        <v>080322001</v>
      </c>
      <c r="G1144" s="7" t="s">
        <v>16</v>
      </c>
      <c r="H1144" s="7">
        <v>90</v>
      </c>
      <c r="I1144" s="11">
        <v>0.33</v>
      </c>
    </row>
    <row r="1145" spans="1:9">
      <c r="A1145" s="7" t="s">
        <v>1404</v>
      </c>
      <c r="B1145" s="7">
        <v>4186</v>
      </c>
      <c r="C1145" s="7" t="str">
        <f>"020422000"</f>
        <v>020422000</v>
      </c>
      <c r="D1145" s="7" t="s">
        <v>1405</v>
      </c>
      <c r="E1145" s="7">
        <v>4796</v>
      </c>
      <c r="F1145" s="7" t="str">
        <f>"020422001"</f>
        <v>020422001</v>
      </c>
      <c r="H1145" s="7">
        <v>140</v>
      </c>
      <c r="I1145" s="11">
        <v>0.6</v>
      </c>
    </row>
    <row r="1146" spans="1:9">
      <c r="A1146" s="7" t="s">
        <v>1406</v>
      </c>
      <c r="B1146" s="7">
        <v>4283</v>
      </c>
      <c r="C1146" s="7" t="str">
        <f t="shared" ref="C1146:C1157" si="51">"070492000"</f>
        <v>070492000</v>
      </c>
      <c r="D1146" s="7" t="s">
        <v>1407</v>
      </c>
      <c r="E1146" s="7">
        <v>80419</v>
      </c>
      <c r="F1146" s="7" t="str">
        <f>"070492024"</f>
        <v>070492024</v>
      </c>
      <c r="H1146" s="7">
        <v>515</v>
      </c>
      <c r="I1146" s="11">
        <v>0.77</v>
      </c>
    </row>
    <row r="1147" spans="1:9">
      <c r="A1147" s="7" t="s">
        <v>1406</v>
      </c>
      <c r="B1147" s="7">
        <v>4283</v>
      </c>
      <c r="C1147" s="7" t="str">
        <f t="shared" si="51"/>
        <v>070492000</v>
      </c>
      <c r="D1147" s="7" t="s">
        <v>1408</v>
      </c>
      <c r="E1147" s="7">
        <v>79265</v>
      </c>
      <c r="F1147" s="7" t="str">
        <f>"070492019"</f>
        <v>070492019</v>
      </c>
      <c r="H1147" s="7">
        <v>621</v>
      </c>
      <c r="I1147" s="11">
        <v>0.67</v>
      </c>
    </row>
    <row r="1148" spans="1:9">
      <c r="A1148" s="7" t="s">
        <v>1406</v>
      </c>
      <c r="B1148" s="7">
        <v>4283</v>
      </c>
      <c r="C1148" s="7" t="str">
        <f t="shared" si="51"/>
        <v>070492000</v>
      </c>
      <c r="D1148" s="7" t="s">
        <v>1409</v>
      </c>
      <c r="E1148" s="7">
        <v>5423</v>
      </c>
      <c r="F1148" s="7" t="str">
        <f>"070492018"</f>
        <v>070492018</v>
      </c>
      <c r="H1148" s="7">
        <v>752</v>
      </c>
      <c r="I1148" s="11">
        <v>0.68</v>
      </c>
    </row>
    <row r="1149" spans="1:9">
      <c r="A1149" s="7" t="s">
        <v>1406</v>
      </c>
      <c r="B1149" s="7">
        <v>4283</v>
      </c>
      <c r="C1149" s="7" t="str">
        <f t="shared" si="51"/>
        <v>070492000</v>
      </c>
      <c r="D1149" s="7" t="s">
        <v>1410</v>
      </c>
      <c r="E1149" s="7">
        <v>5418</v>
      </c>
      <c r="F1149" s="7" t="str">
        <f>"070492013"</f>
        <v>070492013</v>
      </c>
      <c r="G1149" s="7" t="s">
        <v>26</v>
      </c>
      <c r="H1149" s="7">
        <v>739</v>
      </c>
      <c r="I1149" s="11">
        <v>0.76</v>
      </c>
    </row>
    <row r="1150" spans="1:9">
      <c r="A1150" s="7" t="s">
        <v>1406</v>
      </c>
      <c r="B1150" s="7">
        <v>4283</v>
      </c>
      <c r="C1150" s="7" t="str">
        <f t="shared" si="51"/>
        <v>070492000</v>
      </c>
      <c r="D1150" s="7" t="s">
        <v>1411</v>
      </c>
      <c r="E1150" s="7">
        <v>5422</v>
      </c>
      <c r="F1150" s="7" t="str">
        <f>"070492017"</f>
        <v>070492017</v>
      </c>
      <c r="H1150" s="7">
        <v>751</v>
      </c>
      <c r="I1150" s="11">
        <v>0.71</v>
      </c>
    </row>
    <row r="1151" spans="1:9">
      <c r="A1151" s="7" t="s">
        <v>1406</v>
      </c>
      <c r="B1151" s="7">
        <v>4283</v>
      </c>
      <c r="C1151" s="7" t="str">
        <f t="shared" si="51"/>
        <v>070492000</v>
      </c>
      <c r="D1151" s="7" t="s">
        <v>1412</v>
      </c>
      <c r="E1151" s="7">
        <v>5421</v>
      </c>
      <c r="F1151" s="7" t="str">
        <f>"070492016"</f>
        <v>070492016</v>
      </c>
      <c r="H1151" s="7">
        <v>911</v>
      </c>
      <c r="I1151" s="11">
        <v>0.61</v>
      </c>
    </row>
    <row r="1152" spans="1:9">
      <c r="A1152" s="7" t="s">
        <v>1406</v>
      </c>
      <c r="B1152" s="7">
        <v>4283</v>
      </c>
      <c r="C1152" s="7" t="str">
        <f t="shared" si="51"/>
        <v>070492000</v>
      </c>
      <c r="D1152" s="7" t="s">
        <v>1413</v>
      </c>
      <c r="E1152" s="7">
        <v>5417</v>
      </c>
      <c r="F1152" s="7" t="str">
        <f>"070492012"</f>
        <v>070492012</v>
      </c>
      <c r="G1152" s="7" t="s">
        <v>26</v>
      </c>
      <c r="H1152" s="7">
        <v>672</v>
      </c>
      <c r="I1152" s="11">
        <v>0.76</v>
      </c>
    </row>
    <row r="1153" spans="1:9">
      <c r="A1153" s="7" t="s">
        <v>1406</v>
      </c>
      <c r="B1153" s="7">
        <v>4283</v>
      </c>
      <c r="C1153" s="7" t="str">
        <f t="shared" si="51"/>
        <v>070492000</v>
      </c>
      <c r="D1153" s="7" t="s">
        <v>1414</v>
      </c>
      <c r="E1153" s="7">
        <v>79800</v>
      </c>
      <c r="F1153" s="7" t="str">
        <f>"070492021"</f>
        <v>070492021</v>
      </c>
      <c r="H1153" s="7">
        <v>684</v>
      </c>
      <c r="I1153" s="11">
        <v>0.7</v>
      </c>
    </row>
    <row r="1154" spans="1:9">
      <c r="A1154" s="7" t="s">
        <v>1406</v>
      </c>
      <c r="B1154" s="7">
        <v>4283</v>
      </c>
      <c r="C1154" s="7" t="str">
        <f t="shared" si="51"/>
        <v>070492000</v>
      </c>
      <c r="D1154" s="7" t="s">
        <v>1373</v>
      </c>
      <c r="E1154" s="7">
        <v>79642</v>
      </c>
      <c r="F1154" s="7" t="str">
        <f>"070492020"</f>
        <v>070492020</v>
      </c>
      <c r="H1154" s="7">
        <v>529</v>
      </c>
      <c r="I1154" s="11">
        <v>0.67</v>
      </c>
    </row>
    <row r="1155" spans="1:9">
      <c r="A1155" s="7" t="s">
        <v>1406</v>
      </c>
      <c r="B1155" s="7">
        <v>4283</v>
      </c>
      <c r="C1155" s="7" t="str">
        <f t="shared" si="51"/>
        <v>070492000</v>
      </c>
      <c r="D1155" s="7" t="s">
        <v>1415</v>
      </c>
      <c r="E1155" s="7">
        <v>80418</v>
      </c>
      <c r="F1155" s="7" t="str">
        <f>"070492022"</f>
        <v>070492022</v>
      </c>
      <c r="H1155" s="7">
        <v>604</v>
      </c>
      <c r="I1155" s="11">
        <v>0.68</v>
      </c>
    </row>
    <row r="1156" spans="1:9">
      <c r="A1156" s="7" t="s">
        <v>1406</v>
      </c>
      <c r="B1156" s="7">
        <v>4283</v>
      </c>
      <c r="C1156" s="7" t="str">
        <f t="shared" si="51"/>
        <v>070492000</v>
      </c>
      <c r="D1156" s="7" t="s">
        <v>1416</v>
      </c>
      <c r="E1156" s="7">
        <v>5420</v>
      </c>
      <c r="F1156" s="7" t="str">
        <f>"070492015"</f>
        <v>070492015</v>
      </c>
      <c r="H1156" s="7">
        <v>621</v>
      </c>
      <c r="I1156" s="11">
        <v>0.75</v>
      </c>
    </row>
    <row r="1157" spans="1:9">
      <c r="A1157" s="7" t="s">
        <v>1406</v>
      </c>
      <c r="B1157" s="7">
        <v>4283</v>
      </c>
      <c r="C1157" s="7" t="str">
        <f t="shared" si="51"/>
        <v>070492000</v>
      </c>
      <c r="D1157" s="7" t="s">
        <v>1417</v>
      </c>
      <c r="E1157" s="7">
        <v>80417</v>
      </c>
      <c r="F1157" s="7" t="str">
        <f>"070492023"</f>
        <v>070492023</v>
      </c>
      <c r="G1157" s="7" t="s">
        <v>26</v>
      </c>
      <c r="H1157" s="7">
        <v>985</v>
      </c>
      <c r="I1157" s="11">
        <v>0.81</v>
      </c>
    </row>
    <row r="1158" spans="1:9" ht="28.5">
      <c r="A1158" s="7" t="s">
        <v>1418</v>
      </c>
      <c r="B1158" s="7">
        <v>92972</v>
      </c>
      <c r="C1158" s="7" t="str">
        <f>"078238000"</f>
        <v>078238000</v>
      </c>
      <c r="D1158" s="7" t="s">
        <v>1418</v>
      </c>
      <c r="E1158" s="7">
        <v>126443</v>
      </c>
      <c r="F1158" s="7" t="str">
        <f>"078238001"</f>
        <v>078238001</v>
      </c>
      <c r="G1158" s="7" t="s">
        <v>16</v>
      </c>
      <c r="H1158" s="7">
        <v>213</v>
      </c>
      <c r="I1158" s="11">
        <v>0.77</v>
      </c>
    </row>
    <row r="1159" spans="1:9">
      <c r="A1159" s="7" t="s">
        <v>1419</v>
      </c>
      <c r="B1159" s="7">
        <v>4237</v>
      </c>
      <c r="C1159" s="7" t="str">
        <f t="shared" ref="C1159:C1200" si="52">"070211000"</f>
        <v>070211000</v>
      </c>
      <c r="D1159" s="7" t="s">
        <v>1420</v>
      </c>
      <c r="E1159" s="7">
        <v>4994</v>
      </c>
      <c r="F1159" s="7" t="str">
        <f>"070211106"</f>
        <v>070211106</v>
      </c>
      <c r="H1159" s="7">
        <v>636</v>
      </c>
      <c r="I1159" s="11">
        <v>0.77</v>
      </c>
    </row>
    <row r="1160" spans="1:9">
      <c r="A1160" s="7" t="s">
        <v>1419</v>
      </c>
      <c r="B1160" s="7">
        <v>4237</v>
      </c>
      <c r="C1160" s="7" t="str">
        <f t="shared" si="52"/>
        <v>070211000</v>
      </c>
      <c r="D1160" s="7" t="s">
        <v>1421</v>
      </c>
      <c r="E1160" s="7">
        <v>5006</v>
      </c>
      <c r="F1160" s="7" t="str">
        <f>"070211118"</f>
        <v>070211118</v>
      </c>
      <c r="H1160" s="7">
        <v>703</v>
      </c>
      <c r="I1160" s="11">
        <v>0.49</v>
      </c>
    </row>
    <row r="1161" spans="1:9">
      <c r="A1161" s="7" t="s">
        <v>1419</v>
      </c>
      <c r="B1161" s="7">
        <v>4237</v>
      </c>
      <c r="C1161" s="7" t="str">
        <f t="shared" si="52"/>
        <v>070211000</v>
      </c>
      <c r="D1161" s="7" t="s">
        <v>1422</v>
      </c>
      <c r="E1161" s="7">
        <v>5014</v>
      </c>
      <c r="F1161" s="7" t="str">
        <f>"070211261"</f>
        <v>070211261</v>
      </c>
      <c r="H1161" s="7">
        <v>1040</v>
      </c>
      <c r="I1161" s="11">
        <v>0.54</v>
      </c>
    </row>
    <row r="1162" spans="1:9">
      <c r="A1162" s="7" t="s">
        <v>1419</v>
      </c>
      <c r="B1162" s="7">
        <v>4237</v>
      </c>
      <c r="C1162" s="7" t="str">
        <f t="shared" si="52"/>
        <v>070211000</v>
      </c>
      <c r="D1162" s="7" t="s">
        <v>1423</v>
      </c>
      <c r="E1162" s="7">
        <v>5007</v>
      </c>
      <c r="F1162" s="7" t="str">
        <f>"070211119"</f>
        <v>070211119</v>
      </c>
      <c r="H1162" s="7">
        <v>294</v>
      </c>
      <c r="I1162" s="11">
        <v>0.54</v>
      </c>
    </row>
    <row r="1163" spans="1:9">
      <c r="A1163" s="7" t="s">
        <v>1419</v>
      </c>
      <c r="B1163" s="7">
        <v>4237</v>
      </c>
      <c r="C1163" s="7" t="str">
        <f t="shared" si="52"/>
        <v>070211000</v>
      </c>
      <c r="D1163" s="7" t="s">
        <v>1424</v>
      </c>
      <c r="E1163" s="7">
        <v>5016</v>
      </c>
      <c r="F1163" s="7" t="str">
        <f>"070211263"</f>
        <v>070211263</v>
      </c>
      <c r="H1163" s="7">
        <v>2003</v>
      </c>
      <c r="I1163" s="11">
        <v>0.41</v>
      </c>
    </row>
    <row r="1164" spans="1:9">
      <c r="A1164" s="7" t="s">
        <v>1419</v>
      </c>
      <c r="B1164" s="7">
        <v>4237</v>
      </c>
      <c r="C1164" s="7" t="str">
        <f t="shared" si="52"/>
        <v>070211000</v>
      </c>
      <c r="D1164" s="7" t="s">
        <v>1425</v>
      </c>
      <c r="E1164" s="7">
        <v>5012</v>
      </c>
      <c r="F1164" s="7" t="str">
        <f>"070211124"</f>
        <v>070211124</v>
      </c>
      <c r="H1164" s="7">
        <v>576</v>
      </c>
      <c r="I1164" s="11">
        <v>0.77</v>
      </c>
    </row>
    <row r="1165" spans="1:9">
      <c r="A1165" s="7" t="s">
        <v>1419</v>
      </c>
      <c r="B1165" s="7">
        <v>4237</v>
      </c>
      <c r="C1165" s="7" t="str">
        <f t="shared" si="52"/>
        <v>070211000</v>
      </c>
      <c r="D1165" s="7" t="s">
        <v>1426</v>
      </c>
      <c r="E1165" s="7">
        <v>4997</v>
      </c>
      <c r="F1165" s="7" t="str">
        <f>"070211109"</f>
        <v>070211109</v>
      </c>
      <c r="H1165" s="7">
        <v>645</v>
      </c>
      <c r="I1165" s="11">
        <v>0.56999999999999995</v>
      </c>
    </row>
    <row r="1166" spans="1:9">
      <c r="A1166" s="7" t="s">
        <v>1419</v>
      </c>
      <c r="B1166" s="7">
        <v>4237</v>
      </c>
      <c r="C1166" s="7" t="str">
        <f t="shared" si="52"/>
        <v>070211000</v>
      </c>
      <c r="D1166" s="7" t="s">
        <v>1427</v>
      </c>
      <c r="E1166" s="7">
        <v>4999</v>
      </c>
      <c r="F1166" s="7" t="str">
        <f>"070211111"</f>
        <v>070211111</v>
      </c>
      <c r="H1166" s="7">
        <v>789</v>
      </c>
      <c r="I1166" s="11">
        <v>0.62</v>
      </c>
    </row>
    <row r="1167" spans="1:9" ht="28.5">
      <c r="A1167" s="7" t="s">
        <v>1419</v>
      </c>
      <c r="B1167" s="7">
        <v>4237</v>
      </c>
      <c r="C1167" s="7" t="str">
        <f t="shared" si="52"/>
        <v>070211000</v>
      </c>
      <c r="D1167" s="7" t="s">
        <v>1428</v>
      </c>
      <c r="E1167" s="7">
        <v>79223</v>
      </c>
      <c r="F1167" s="7" t="str">
        <f>"070211126"</f>
        <v>070211126</v>
      </c>
      <c r="H1167" s="7">
        <v>961</v>
      </c>
      <c r="I1167" s="11">
        <v>0.77</v>
      </c>
    </row>
    <row r="1168" spans="1:9">
      <c r="A1168" s="7" t="s">
        <v>1419</v>
      </c>
      <c r="B1168" s="7">
        <v>4237</v>
      </c>
      <c r="C1168" s="7" t="str">
        <f t="shared" si="52"/>
        <v>070211000</v>
      </c>
      <c r="D1168" s="7" t="s">
        <v>1429</v>
      </c>
      <c r="E1168" s="7">
        <v>79222</v>
      </c>
      <c r="F1168" s="7" t="str">
        <f>"070211127"</f>
        <v>070211127</v>
      </c>
      <c r="H1168" s="7">
        <v>774</v>
      </c>
      <c r="I1168" s="11">
        <v>0.26</v>
      </c>
    </row>
    <row r="1169" spans="1:9">
      <c r="A1169" s="7" t="s">
        <v>1419</v>
      </c>
      <c r="B1169" s="7">
        <v>4237</v>
      </c>
      <c r="C1169" s="7" t="str">
        <f t="shared" si="52"/>
        <v>070211000</v>
      </c>
      <c r="D1169" s="7" t="s">
        <v>1430</v>
      </c>
      <c r="E1169" s="7">
        <v>5011</v>
      </c>
      <c r="F1169" s="7" t="str">
        <f>"070211123"</f>
        <v>070211123</v>
      </c>
      <c r="H1169" s="7">
        <v>793</v>
      </c>
      <c r="I1169" s="11">
        <v>0.43</v>
      </c>
    </row>
    <row r="1170" spans="1:9">
      <c r="A1170" s="7" t="s">
        <v>1419</v>
      </c>
      <c r="B1170" s="7">
        <v>4237</v>
      </c>
      <c r="C1170" s="7" t="str">
        <f t="shared" si="52"/>
        <v>070211000</v>
      </c>
      <c r="D1170" s="7" t="s">
        <v>1431</v>
      </c>
      <c r="E1170" s="7">
        <v>4995</v>
      </c>
      <c r="F1170" s="7" t="str">
        <f>"070211107"</f>
        <v>070211107</v>
      </c>
      <c r="H1170" s="7">
        <v>393</v>
      </c>
      <c r="I1170" s="11">
        <v>0.7</v>
      </c>
    </row>
    <row r="1171" spans="1:9">
      <c r="A1171" s="7" t="s">
        <v>1419</v>
      </c>
      <c r="B1171" s="7">
        <v>4237</v>
      </c>
      <c r="C1171" s="7" t="str">
        <f t="shared" si="52"/>
        <v>070211000</v>
      </c>
      <c r="D1171" s="7" t="s">
        <v>1432</v>
      </c>
      <c r="E1171" s="7">
        <v>5001</v>
      </c>
      <c r="F1171" s="7" t="str">
        <f>"070211113"</f>
        <v>070211113</v>
      </c>
      <c r="H1171" s="7">
        <v>458</v>
      </c>
      <c r="I1171" s="11">
        <v>0.53</v>
      </c>
    </row>
    <row r="1172" spans="1:9">
      <c r="A1172" s="7" t="s">
        <v>1419</v>
      </c>
      <c r="B1172" s="7">
        <v>4237</v>
      </c>
      <c r="C1172" s="7" t="str">
        <f t="shared" si="52"/>
        <v>070211000</v>
      </c>
      <c r="D1172" s="7" t="s">
        <v>1433</v>
      </c>
      <c r="E1172" s="7">
        <v>4996</v>
      </c>
      <c r="F1172" s="7" t="str">
        <f>"070211108"</f>
        <v>070211108</v>
      </c>
      <c r="H1172" s="7">
        <v>547</v>
      </c>
      <c r="I1172" s="11">
        <v>0.66</v>
      </c>
    </row>
    <row r="1173" spans="1:9">
      <c r="A1173" s="7" t="s">
        <v>1419</v>
      </c>
      <c r="B1173" s="7">
        <v>4237</v>
      </c>
      <c r="C1173" s="7" t="str">
        <f t="shared" si="52"/>
        <v>070211000</v>
      </c>
      <c r="D1173" s="7" t="s">
        <v>1434</v>
      </c>
      <c r="E1173" s="7">
        <v>6005</v>
      </c>
      <c r="F1173" s="7" t="str">
        <f>"070211125"</f>
        <v>070211125</v>
      </c>
      <c r="H1173" s="7">
        <v>869</v>
      </c>
      <c r="I1173" s="11">
        <v>0.27</v>
      </c>
    </row>
    <row r="1174" spans="1:9">
      <c r="A1174" s="7" t="s">
        <v>1419</v>
      </c>
      <c r="B1174" s="7">
        <v>4237</v>
      </c>
      <c r="C1174" s="7" t="str">
        <f t="shared" si="52"/>
        <v>070211000</v>
      </c>
      <c r="D1174" s="7" t="s">
        <v>1435</v>
      </c>
      <c r="E1174" s="7">
        <v>4992</v>
      </c>
      <c r="F1174" s="7" t="str">
        <f>"070211104"</f>
        <v>070211104</v>
      </c>
      <c r="H1174" s="7">
        <v>485</v>
      </c>
      <c r="I1174" s="11">
        <v>0.66</v>
      </c>
    </row>
    <row r="1175" spans="1:9">
      <c r="A1175" s="7" t="s">
        <v>1419</v>
      </c>
      <c r="B1175" s="7">
        <v>4237</v>
      </c>
      <c r="C1175" s="7" t="str">
        <f t="shared" si="52"/>
        <v>070211000</v>
      </c>
      <c r="D1175" s="7" t="s">
        <v>1436</v>
      </c>
      <c r="E1175" s="7">
        <v>4990</v>
      </c>
      <c r="F1175" s="7" t="str">
        <f>"070211102"</f>
        <v>070211102</v>
      </c>
      <c r="H1175" s="7">
        <v>467</v>
      </c>
      <c r="I1175" s="11">
        <v>0.81</v>
      </c>
    </row>
    <row r="1176" spans="1:9">
      <c r="A1176" s="7" t="s">
        <v>1419</v>
      </c>
      <c r="B1176" s="7">
        <v>4237</v>
      </c>
      <c r="C1176" s="7" t="str">
        <f t="shared" si="52"/>
        <v>070211000</v>
      </c>
      <c r="D1176" s="7" t="s">
        <v>1437</v>
      </c>
      <c r="E1176" s="7">
        <v>5015</v>
      </c>
      <c r="F1176" s="7" t="str">
        <f>"070211262"</f>
        <v>070211262</v>
      </c>
      <c r="H1176" s="7">
        <v>1878</v>
      </c>
      <c r="I1176" s="11">
        <v>0.49</v>
      </c>
    </row>
    <row r="1177" spans="1:9">
      <c r="A1177" s="7" t="s">
        <v>1419</v>
      </c>
      <c r="B1177" s="7">
        <v>4237</v>
      </c>
      <c r="C1177" s="7" t="str">
        <f t="shared" si="52"/>
        <v>070211000</v>
      </c>
      <c r="D1177" s="7" t="s">
        <v>1438</v>
      </c>
      <c r="E1177" s="7">
        <v>4991</v>
      </c>
      <c r="F1177" s="7" t="str">
        <f>"070211103"</f>
        <v>070211103</v>
      </c>
      <c r="H1177" s="7">
        <v>310</v>
      </c>
      <c r="I1177" s="11">
        <v>0.7</v>
      </c>
    </row>
    <row r="1178" spans="1:9">
      <c r="A1178" s="7" t="s">
        <v>1419</v>
      </c>
      <c r="B1178" s="7">
        <v>4237</v>
      </c>
      <c r="C1178" s="7" t="str">
        <f t="shared" si="52"/>
        <v>070211000</v>
      </c>
      <c r="D1178" s="7" t="s">
        <v>1439</v>
      </c>
      <c r="E1178" s="7">
        <v>90135</v>
      </c>
      <c r="F1178" s="7" t="str">
        <f>"070211131"</f>
        <v>070211131</v>
      </c>
      <c r="H1178" s="7">
        <v>1272</v>
      </c>
      <c r="I1178" s="11">
        <v>0.19</v>
      </c>
    </row>
    <row r="1179" spans="1:9">
      <c r="A1179" s="7" t="s">
        <v>1419</v>
      </c>
      <c r="B1179" s="7">
        <v>4237</v>
      </c>
      <c r="C1179" s="7" t="str">
        <f t="shared" si="52"/>
        <v>070211000</v>
      </c>
      <c r="D1179" s="7" t="s">
        <v>1440</v>
      </c>
      <c r="E1179" s="7">
        <v>87520</v>
      </c>
      <c r="F1179" s="7" t="str">
        <f>"070211267"</f>
        <v>070211267</v>
      </c>
      <c r="H1179" s="7">
        <v>2578</v>
      </c>
      <c r="I1179" s="11">
        <v>0.15</v>
      </c>
    </row>
    <row r="1180" spans="1:9">
      <c r="A1180" s="7" t="s">
        <v>1419</v>
      </c>
      <c r="B1180" s="7">
        <v>4237</v>
      </c>
      <c r="C1180" s="7" t="str">
        <f t="shared" si="52"/>
        <v>070211000</v>
      </c>
      <c r="D1180" s="7" t="s">
        <v>1441</v>
      </c>
      <c r="E1180" s="7">
        <v>5008</v>
      </c>
      <c r="F1180" s="7" t="str">
        <f>"070211120"</f>
        <v>070211120</v>
      </c>
      <c r="H1180" s="7">
        <v>688</v>
      </c>
      <c r="I1180" s="11">
        <v>0.6</v>
      </c>
    </row>
    <row r="1181" spans="1:9">
      <c r="A1181" s="7" t="s">
        <v>1419</v>
      </c>
      <c r="B1181" s="7">
        <v>4237</v>
      </c>
      <c r="C1181" s="7" t="str">
        <f t="shared" si="52"/>
        <v>070211000</v>
      </c>
      <c r="D1181" s="7" t="s">
        <v>1442</v>
      </c>
      <c r="E1181" s="7">
        <v>5000</v>
      </c>
      <c r="F1181" s="7" t="str">
        <f>"070211112"</f>
        <v>070211112</v>
      </c>
      <c r="H1181" s="7">
        <v>918</v>
      </c>
      <c r="I1181" s="11">
        <v>0.39</v>
      </c>
    </row>
    <row r="1182" spans="1:9">
      <c r="A1182" s="7" t="s">
        <v>1419</v>
      </c>
      <c r="B1182" s="7">
        <v>4237</v>
      </c>
      <c r="C1182" s="7" t="str">
        <f t="shared" si="52"/>
        <v>070211000</v>
      </c>
      <c r="D1182" s="7" t="s">
        <v>1443</v>
      </c>
      <c r="E1182" s="7">
        <v>5003</v>
      </c>
      <c r="F1182" s="7" t="str">
        <f>"070211115"</f>
        <v>070211115</v>
      </c>
      <c r="H1182" s="7">
        <v>730</v>
      </c>
      <c r="I1182" s="11">
        <v>0.51</v>
      </c>
    </row>
    <row r="1183" spans="1:9">
      <c r="A1183" s="7" t="s">
        <v>1419</v>
      </c>
      <c r="B1183" s="7">
        <v>4237</v>
      </c>
      <c r="C1183" s="7" t="str">
        <f t="shared" si="52"/>
        <v>070211000</v>
      </c>
      <c r="D1183" s="7" t="s">
        <v>1444</v>
      </c>
      <c r="E1183" s="7">
        <v>81144</v>
      </c>
      <c r="F1183" s="7" t="str">
        <f>"070211129"</f>
        <v>070211129</v>
      </c>
      <c r="H1183" s="7">
        <v>864</v>
      </c>
      <c r="I1183" s="11">
        <v>0.39</v>
      </c>
    </row>
    <row r="1184" spans="1:9">
      <c r="A1184" s="7" t="s">
        <v>1419</v>
      </c>
      <c r="B1184" s="7">
        <v>4237</v>
      </c>
      <c r="C1184" s="7" t="str">
        <f t="shared" si="52"/>
        <v>070211000</v>
      </c>
      <c r="D1184" s="7" t="s">
        <v>1445</v>
      </c>
      <c r="E1184" s="7">
        <v>5010</v>
      </c>
      <c r="F1184" s="7" t="str">
        <f>"070211122"</f>
        <v>070211122</v>
      </c>
      <c r="H1184" s="7">
        <v>698</v>
      </c>
      <c r="I1184" s="11">
        <v>0.41</v>
      </c>
    </row>
    <row r="1185" spans="1:9">
      <c r="A1185" s="7" t="s">
        <v>1419</v>
      </c>
      <c r="B1185" s="7">
        <v>4237</v>
      </c>
      <c r="C1185" s="7" t="str">
        <f t="shared" si="52"/>
        <v>070211000</v>
      </c>
      <c r="D1185" s="7" t="s">
        <v>1446</v>
      </c>
      <c r="E1185" s="7">
        <v>4989</v>
      </c>
      <c r="F1185" s="7" t="str">
        <f>"070211101"</f>
        <v>070211101</v>
      </c>
      <c r="H1185" s="7">
        <v>507</v>
      </c>
      <c r="I1185" s="11">
        <v>0.77</v>
      </c>
    </row>
    <row r="1186" spans="1:9">
      <c r="A1186" s="7" t="s">
        <v>1419</v>
      </c>
      <c r="B1186" s="7">
        <v>4237</v>
      </c>
      <c r="C1186" s="7" t="str">
        <f t="shared" si="52"/>
        <v>070211000</v>
      </c>
      <c r="D1186" s="7" t="s">
        <v>1447</v>
      </c>
      <c r="E1186" s="7">
        <v>6231</v>
      </c>
      <c r="F1186" s="7" t="str">
        <f>"070211266"</f>
        <v>070211266</v>
      </c>
      <c r="H1186" s="7">
        <v>98</v>
      </c>
      <c r="I1186" s="11">
        <v>0.71</v>
      </c>
    </row>
    <row r="1187" spans="1:9">
      <c r="A1187" s="7" t="s">
        <v>1419</v>
      </c>
      <c r="B1187" s="7">
        <v>4237</v>
      </c>
      <c r="C1187" s="7" t="str">
        <f t="shared" si="52"/>
        <v>070211000</v>
      </c>
      <c r="D1187" s="7" t="s">
        <v>1448</v>
      </c>
      <c r="E1187" s="7">
        <v>5013</v>
      </c>
      <c r="F1187" s="7" t="str">
        <f>"070211260"</f>
        <v>070211260</v>
      </c>
      <c r="H1187" s="7">
        <v>1150</v>
      </c>
      <c r="I1187" s="11">
        <v>0.65</v>
      </c>
    </row>
    <row r="1188" spans="1:9">
      <c r="A1188" s="7" t="s">
        <v>1419</v>
      </c>
      <c r="B1188" s="7">
        <v>4237</v>
      </c>
      <c r="C1188" s="7" t="str">
        <f t="shared" si="52"/>
        <v>070211000</v>
      </c>
      <c r="D1188" s="7" t="s">
        <v>1449</v>
      </c>
      <c r="E1188" s="7">
        <v>91217</v>
      </c>
      <c r="F1188" s="7" t="str">
        <f>"070211132"</f>
        <v>070211132</v>
      </c>
      <c r="H1188" s="7">
        <v>375</v>
      </c>
      <c r="I1188" s="11">
        <v>0.12</v>
      </c>
    </row>
    <row r="1189" spans="1:9">
      <c r="A1189" s="7" t="s">
        <v>1419</v>
      </c>
      <c r="B1189" s="7">
        <v>4237</v>
      </c>
      <c r="C1189" s="7" t="str">
        <f t="shared" si="52"/>
        <v>070211000</v>
      </c>
      <c r="D1189" s="7" t="s">
        <v>756</v>
      </c>
      <c r="E1189" s="7">
        <v>4993</v>
      </c>
      <c r="F1189" s="7" t="str">
        <f>"070211105"</f>
        <v>070211105</v>
      </c>
      <c r="H1189" s="7">
        <v>416</v>
      </c>
      <c r="I1189" s="11">
        <v>0.72</v>
      </c>
    </row>
    <row r="1190" spans="1:9">
      <c r="A1190" s="7" t="s">
        <v>1419</v>
      </c>
      <c r="B1190" s="7">
        <v>4237</v>
      </c>
      <c r="C1190" s="7" t="str">
        <f t="shared" si="52"/>
        <v>070211000</v>
      </c>
      <c r="D1190" s="7" t="s">
        <v>1450</v>
      </c>
      <c r="E1190" s="7">
        <v>85835</v>
      </c>
      <c r="F1190" s="7" t="str">
        <f>"070211265"</f>
        <v>070211265</v>
      </c>
      <c r="H1190" s="7">
        <v>1698</v>
      </c>
      <c r="I1190" s="11">
        <v>0.56999999999999995</v>
      </c>
    </row>
    <row r="1191" spans="1:9">
      <c r="A1191" s="7" t="s">
        <v>1419</v>
      </c>
      <c r="B1191" s="7">
        <v>4237</v>
      </c>
      <c r="C1191" s="7" t="str">
        <f t="shared" si="52"/>
        <v>070211000</v>
      </c>
      <c r="D1191" s="7" t="s">
        <v>1451</v>
      </c>
      <c r="E1191" s="7">
        <v>5002</v>
      </c>
      <c r="F1191" s="7" t="str">
        <f>"070211114"</f>
        <v>070211114</v>
      </c>
      <c r="H1191" s="7">
        <v>589</v>
      </c>
      <c r="I1191" s="11">
        <v>0.71</v>
      </c>
    </row>
    <row r="1192" spans="1:9">
      <c r="A1192" s="7" t="s">
        <v>1419</v>
      </c>
      <c r="B1192" s="7">
        <v>4237</v>
      </c>
      <c r="C1192" s="7" t="str">
        <f t="shared" si="52"/>
        <v>070211000</v>
      </c>
      <c r="D1192" s="7" t="s">
        <v>1452</v>
      </c>
      <c r="E1192" s="7">
        <v>5009</v>
      </c>
      <c r="F1192" s="7" t="str">
        <f>"070211121"</f>
        <v>070211121</v>
      </c>
      <c r="H1192" s="7">
        <v>703</v>
      </c>
      <c r="I1192" s="11">
        <v>0.73</v>
      </c>
    </row>
    <row r="1193" spans="1:9">
      <c r="A1193" s="7" t="s">
        <v>1419</v>
      </c>
      <c r="B1193" s="7">
        <v>4237</v>
      </c>
      <c r="C1193" s="7" t="str">
        <f t="shared" si="52"/>
        <v>070211000</v>
      </c>
      <c r="D1193" s="7" t="s">
        <v>1453</v>
      </c>
      <c r="E1193" s="7">
        <v>5005</v>
      </c>
      <c r="F1193" s="7" t="str">
        <f>"070211117"</f>
        <v>070211117</v>
      </c>
      <c r="H1193" s="7">
        <v>486</v>
      </c>
      <c r="I1193" s="11">
        <v>0.62</v>
      </c>
    </row>
    <row r="1194" spans="1:9">
      <c r="A1194" s="7" t="s">
        <v>1419</v>
      </c>
      <c r="B1194" s="7">
        <v>4237</v>
      </c>
      <c r="C1194" s="7" t="str">
        <f t="shared" si="52"/>
        <v>070211000</v>
      </c>
      <c r="D1194" s="7" t="s">
        <v>1454</v>
      </c>
      <c r="E1194" s="7">
        <v>5004</v>
      </c>
      <c r="F1194" s="7" t="str">
        <f>"070211116"</f>
        <v>070211116</v>
      </c>
      <c r="H1194" s="7">
        <v>766</v>
      </c>
      <c r="I1194" s="11">
        <v>0.73</v>
      </c>
    </row>
    <row r="1195" spans="1:9">
      <c r="A1195" s="7" t="s">
        <v>1419</v>
      </c>
      <c r="B1195" s="7">
        <v>4237</v>
      </c>
      <c r="C1195" s="7" t="str">
        <f t="shared" si="52"/>
        <v>070211000</v>
      </c>
      <c r="D1195" s="7" t="s">
        <v>1455</v>
      </c>
      <c r="E1195" s="7">
        <v>4998</v>
      </c>
      <c r="F1195" s="7" t="str">
        <f>"070211110"</f>
        <v>070211110</v>
      </c>
      <c r="H1195" s="7">
        <v>596</v>
      </c>
      <c r="I1195" s="11">
        <v>0.7</v>
      </c>
    </row>
    <row r="1196" spans="1:9">
      <c r="A1196" s="7" t="s">
        <v>1419</v>
      </c>
      <c r="B1196" s="7">
        <v>4237</v>
      </c>
      <c r="C1196" s="7" t="str">
        <f t="shared" si="52"/>
        <v>070211000</v>
      </c>
      <c r="D1196" s="7" t="s">
        <v>1456</v>
      </c>
      <c r="E1196" s="7">
        <v>92645</v>
      </c>
      <c r="F1196" s="7" t="str">
        <f>"070211134"</f>
        <v>070211134</v>
      </c>
      <c r="H1196" s="7">
        <v>21</v>
      </c>
      <c r="I1196" s="11">
        <v>0.86</v>
      </c>
    </row>
    <row r="1197" spans="1:9">
      <c r="A1197" s="7" t="s">
        <v>1419</v>
      </c>
      <c r="B1197" s="7">
        <v>4237</v>
      </c>
      <c r="C1197" s="7" t="str">
        <f t="shared" si="52"/>
        <v>070211000</v>
      </c>
      <c r="D1197" s="7" t="s">
        <v>1457</v>
      </c>
      <c r="E1197" s="7">
        <v>5017</v>
      </c>
      <c r="F1197" s="7" t="str">
        <f>"070211264"</f>
        <v>070211264</v>
      </c>
      <c r="H1197" s="7">
        <v>2009</v>
      </c>
      <c r="I1197" s="11">
        <v>0.22</v>
      </c>
    </row>
    <row r="1198" spans="1:9">
      <c r="A1198" s="7" t="s">
        <v>1419</v>
      </c>
      <c r="B1198" s="7">
        <v>4237</v>
      </c>
      <c r="C1198" s="7" t="str">
        <f t="shared" si="52"/>
        <v>070211000</v>
      </c>
      <c r="D1198" s="7" t="s">
        <v>1458</v>
      </c>
      <c r="E1198" s="7">
        <v>92638</v>
      </c>
      <c r="F1198" s="7" t="str">
        <f>"070211133"</f>
        <v>070211133</v>
      </c>
      <c r="H1198" s="7">
        <v>1027</v>
      </c>
      <c r="I1198" s="11">
        <v>0.15</v>
      </c>
    </row>
    <row r="1199" spans="1:9">
      <c r="A1199" s="7" t="s">
        <v>1419</v>
      </c>
      <c r="B1199" s="7">
        <v>4237</v>
      </c>
      <c r="C1199" s="7" t="str">
        <f t="shared" si="52"/>
        <v>070211000</v>
      </c>
      <c r="D1199" s="7" t="s">
        <v>1459</v>
      </c>
      <c r="E1199" s="7">
        <v>88397</v>
      </c>
      <c r="F1199" s="7" t="str">
        <f>"070211130"</f>
        <v>070211130</v>
      </c>
      <c r="H1199" s="7">
        <v>1070</v>
      </c>
      <c r="I1199" s="11">
        <v>0.17</v>
      </c>
    </row>
    <row r="1200" spans="1:9">
      <c r="A1200" s="7" t="s">
        <v>1419</v>
      </c>
      <c r="B1200" s="7">
        <v>4237</v>
      </c>
      <c r="C1200" s="7" t="str">
        <f t="shared" si="52"/>
        <v>070211000</v>
      </c>
      <c r="D1200" s="7" t="s">
        <v>1460</v>
      </c>
      <c r="E1200" s="7">
        <v>79645</v>
      </c>
      <c r="F1200" s="7" t="str">
        <f>"070211128"</f>
        <v>070211128</v>
      </c>
      <c r="H1200" s="7">
        <v>845</v>
      </c>
      <c r="I1200" s="11">
        <v>0.31</v>
      </c>
    </row>
    <row r="1201" spans="1:9" ht="28.5">
      <c r="A1201" s="7" t="s">
        <v>1461</v>
      </c>
      <c r="B1201" s="7">
        <v>80130</v>
      </c>
      <c r="C1201" s="7" t="str">
        <f>"042002000"</f>
        <v>042002000</v>
      </c>
      <c r="D1201" s="7" t="s">
        <v>1462</v>
      </c>
      <c r="E1201" s="7">
        <v>80131</v>
      </c>
      <c r="F1201" s="7" t="str">
        <f>"042002001"</f>
        <v>042002001</v>
      </c>
      <c r="H1201" s="7">
        <v>141</v>
      </c>
      <c r="I1201" s="11">
        <v>0.87</v>
      </c>
    </row>
    <row r="1202" spans="1:9">
      <c r="A1202" s="7" t="s">
        <v>1463</v>
      </c>
      <c r="B1202" s="7">
        <v>4256</v>
      </c>
      <c r="C1202" s="7" t="str">
        <f t="shared" ref="C1202:C1215" si="53">"070401000"</f>
        <v>070401000</v>
      </c>
      <c r="D1202" s="7" t="s">
        <v>1464</v>
      </c>
      <c r="E1202" s="7">
        <v>79616</v>
      </c>
      <c r="F1202" s="7" t="str">
        <f>"070401130"</f>
        <v>070401130</v>
      </c>
      <c r="H1202" s="7">
        <v>476</v>
      </c>
      <c r="I1202" s="11">
        <v>0.36</v>
      </c>
    </row>
    <row r="1203" spans="1:9">
      <c r="A1203" s="7" t="s">
        <v>1463</v>
      </c>
      <c r="B1203" s="7">
        <v>4256</v>
      </c>
      <c r="C1203" s="7" t="str">
        <f t="shared" si="53"/>
        <v>070401000</v>
      </c>
      <c r="D1203" s="7" t="s">
        <v>1465</v>
      </c>
      <c r="E1203" s="7">
        <v>5196</v>
      </c>
      <c r="F1203" s="7" t="str">
        <f>"070401102"</f>
        <v>070401102</v>
      </c>
      <c r="H1203" s="7">
        <v>387</v>
      </c>
      <c r="I1203" s="11">
        <v>0.91</v>
      </c>
    </row>
    <row r="1204" spans="1:9" ht="28.5">
      <c r="A1204" s="7" t="s">
        <v>1463</v>
      </c>
      <c r="B1204" s="7">
        <v>4256</v>
      </c>
      <c r="C1204" s="7" t="str">
        <f t="shared" si="53"/>
        <v>070401000</v>
      </c>
      <c r="D1204" s="7" t="s">
        <v>1466</v>
      </c>
      <c r="E1204" s="7">
        <v>286779</v>
      </c>
      <c r="F1204" s="7" t="str">
        <f>"070401132"</f>
        <v>070401132</v>
      </c>
      <c r="H1204" s="7">
        <v>101</v>
      </c>
      <c r="I1204" s="11">
        <v>0.82</v>
      </c>
    </row>
    <row r="1205" spans="1:9">
      <c r="A1205" s="7" t="s">
        <v>1463</v>
      </c>
      <c r="B1205" s="7">
        <v>4256</v>
      </c>
      <c r="C1205" s="7" t="str">
        <f t="shared" si="53"/>
        <v>070401000</v>
      </c>
      <c r="D1205" s="7" t="s">
        <v>1467</v>
      </c>
      <c r="E1205" s="7">
        <v>5200</v>
      </c>
      <c r="F1205" s="7" t="str">
        <f>"070401108"</f>
        <v>070401108</v>
      </c>
      <c r="H1205" s="7">
        <v>429</v>
      </c>
      <c r="I1205" s="11">
        <v>0.94</v>
      </c>
    </row>
    <row r="1206" spans="1:9">
      <c r="A1206" s="7" t="s">
        <v>1463</v>
      </c>
      <c r="B1206" s="7">
        <v>4256</v>
      </c>
      <c r="C1206" s="7" t="str">
        <f t="shared" si="53"/>
        <v>070401000</v>
      </c>
      <c r="D1206" s="7" t="s">
        <v>1468</v>
      </c>
      <c r="E1206" s="7">
        <v>5205</v>
      </c>
      <c r="F1206" s="7" t="str">
        <f>"070401115"</f>
        <v>070401115</v>
      </c>
      <c r="H1206" s="7">
        <v>496</v>
      </c>
      <c r="I1206" s="11">
        <v>0.74</v>
      </c>
    </row>
    <row r="1207" spans="1:9">
      <c r="A1207" s="7" t="s">
        <v>1463</v>
      </c>
      <c r="B1207" s="7">
        <v>4256</v>
      </c>
      <c r="C1207" s="7" t="str">
        <f t="shared" si="53"/>
        <v>070401000</v>
      </c>
      <c r="D1207" s="7" t="s">
        <v>1202</v>
      </c>
      <c r="E1207" s="7">
        <v>5206</v>
      </c>
      <c r="F1207" s="7" t="str">
        <f>"070401118"</f>
        <v>070401118</v>
      </c>
      <c r="H1207" s="7">
        <v>297</v>
      </c>
      <c r="I1207" s="11">
        <v>0.95</v>
      </c>
    </row>
    <row r="1208" spans="1:9">
      <c r="A1208" s="7" t="s">
        <v>1463</v>
      </c>
      <c r="B1208" s="7">
        <v>4256</v>
      </c>
      <c r="C1208" s="7" t="str">
        <f t="shared" si="53"/>
        <v>070401000</v>
      </c>
      <c r="D1208" s="7" t="s">
        <v>1469</v>
      </c>
      <c r="E1208" s="7">
        <v>5201</v>
      </c>
      <c r="F1208" s="7" t="str">
        <f>"070401109"</f>
        <v>070401109</v>
      </c>
      <c r="H1208" s="7">
        <v>379</v>
      </c>
      <c r="I1208" s="11">
        <v>0.75</v>
      </c>
    </row>
    <row r="1209" spans="1:9">
      <c r="A1209" s="7" t="s">
        <v>1463</v>
      </c>
      <c r="B1209" s="7">
        <v>4256</v>
      </c>
      <c r="C1209" s="7" t="str">
        <f t="shared" si="53"/>
        <v>070401000</v>
      </c>
      <c r="D1209" s="7" t="s">
        <v>1470</v>
      </c>
      <c r="E1209" s="7">
        <v>5203</v>
      </c>
      <c r="F1209" s="7" t="str">
        <f>"070401112"</f>
        <v>070401112</v>
      </c>
      <c r="H1209" s="7">
        <v>465</v>
      </c>
      <c r="I1209" s="11">
        <v>0.94</v>
      </c>
    </row>
    <row r="1210" spans="1:9">
      <c r="A1210" s="7" t="s">
        <v>1463</v>
      </c>
      <c r="B1210" s="7">
        <v>4256</v>
      </c>
      <c r="C1210" s="7" t="str">
        <f t="shared" si="53"/>
        <v>070401000</v>
      </c>
      <c r="D1210" s="7" t="s">
        <v>1471</v>
      </c>
      <c r="E1210" s="7">
        <v>5195</v>
      </c>
      <c r="F1210" s="7" t="str">
        <f>"070401101"</f>
        <v>070401101</v>
      </c>
      <c r="H1210" s="7">
        <v>380</v>
      </c>
      <c r="I1210" s="11">
        <v>0.89</v>
      </c>
    </row>
    <row r="1211" spans="1:9">
      <c r="A1211" s="7" t="s">
        <v>1463</v>
      </c>
      <c r="B1211" s="7">
        <v>4256</v>
      </c>
      <c r="C1211" s="7" t="str">
        <f t="shared" si="53"/>
        <v>070401000</v>
      </c>
      <c r="D1211" s="7" t="s">
        <v>1472</v>
      </c>
      <c r="E1211" s="7">
        <v>5197</v>
      </c>
      <c r="F1211" s="7" t="str">
        <f>"070401104"</f>
        <v>070401104</v>
      </c>
      <c r="H1211" s="7">
        <v>444</v>
      </c>
      <c r="I1211" s="11">
        <v>0.79</v>
      </c>
    </row>
    <row r="1212" spans="1:9" ht="28.5">
      <c r="A1212" s="7" t="s">
        <v>1463</v>
      </c>
      <c r="B1212" s="7">
        <v>4256</v>
      </c>
      <c r="C1212" s="7" t="str">
        <f t="shared" si="53"/>
        <v>070401000</v>
      </c>
      <c r="D1212" s="7" t="s">
        <v>1473</v>
      </c>
      <c r="E1212" s="7">
        <v>5199</v>
      </c>
      <c r="F1212" s="7" t="str">
        <f>"070401106"</f>
        <v>070401106</v>
      </c>
      <c r="H1212" s="7">
        <v>309</v>
      </c>
      <c r="I1212" s="11">
        <v>0.81</v>
      </c>
    </row>
    <row r="1213" spans="1:9">
      <c r="A1213" s="7" t="s">
        <v>1463</v>
      </c>
      <c r="B1213" s="7">
        <v>4256</v>
      </c>
      <c r="C1213" s="7" t="str">
        <f t="shared" si="53"/>
        <v>070401000</v>
      </c>
      <c r="D1213" s="7" t="s">
        <v>1474</v>
      </c>
      <c r="E1213" s="7">
        <v>5204</v>
      </c>
      <c r="F1213" s="7" t="str">
        <f>"070401113"</f>
        <v>070401113</v>
      </c>
      <c r="H1213" s="7">
        <v>487</v>
      </c>
      <c r="I1213" s="11">
        <v>0.8</v>
      </c>
    </row>
    <row r="1214" spans="1:9">
      <c r="A1214" s="7" t="s">
        <v>1463</v>
      </c>
      <c r="B1214" s="7">
        <v>4256</v>
      </c>
      <c r="C1214" s="7" t="str">
        <f t="shared" si="53"/>
        <v>070401000</v>
      </c>
      <c r="D1214" s="7" t="s">
        <v>1475</v>
      </c>
      <c r="E1214" s="7">
        <v>5198</v>
      </c>
      <c r="F1214" s="7" t="str">
        <f>"070401105"</f>
        <v>070401105</v>
      </c>
      <c r="H1214" s="7">
        <v>469</v>
      </c>
      <c r="I1214" s="11">
        <v>0.84</v>
      </c>
    </row>
    <row r="1215" spans="1:9">
      <c r="A1215" s="7" t="s">
        <v>1463</v>
      </c>
      <c r="B1215" s="7">
        <v>4256</v>
      </c>
      <c r="C1215" s="7" t="str">
        <f t="shared" si="53"/>
        <v>070401000</v>
      </c>
      <c r="D1215" s="7" t="s">
        <v>1236</v>
      </c>
      <c r="E1215" s="7">
        <v>5209</v>
      </c>
      <c r="F1215" s="7" t="str">
        <f>"070401125"</f>
        <v>070401125</v>
      </c>
      <c r="H1215" s="7">
        <v>369</v>
      </c>
      <c r="I1215" s="11">
        <v>0.91</v>
      </c>
    </row>
    <row r="1216" spans="1:9">
      <c r="A1216" s="7" t="s">
        <v>1476</v>
      </c>
      <c r="B1216" s="7">
        <v>903484</v>
      </c>
      <c r="C1216" s="7" t="str">
        <f>"078693000"</f>
        <v>078693000</v>
      </c>
      <c r="D1216" s="7" t="s">
        <v>1476</v>
      </c>
      <c r="E1216" s="7">
        <v>292305</v>
      </c>
      <c r="F1216" s="7" t="str">
        <f>"078693101"</f>
        <v>078693101</v>
      </c>
      <c r="G1216" s="7" t="s">
        <v>26</v>
      </c>
      <c r="H1216" s="7">
        <v>191</v>
      </c>
      <c r="I1216" s="11">
        <v>0.92</v>
      </c>
    </row>
    <row r="1217" spans="1:9">
      <c r="A1217" s="7" t="s">
        <v>1477</v>
      </c>
      <c r="B1217" s="7">
        <v>4286</v>
      </c>
      <c r="C1217" s="7" t="str">
        <f t="shared" ref="C1217:C1234" si="54">"070510000"</f>
        <v>070510000</v>
      </c>
      <c r="D1217" s="7" t="s">
        <v>1478</v>
      </c>
      <c r="E1217" s="7">
        <v>5436</v>
      </c>
      <c r="F1217" s="7" t="str">
        <f>"070510210"</f>
        <v>070510210</v>
      </c>
      <c r="G1217" s="7" t="s">
        <v>26</v>
      </c>
      <c r="H1217" s="7">
        <v>2154</v>
      </c>
      <c r="I1217" s="11">
        <v>0.86</v>
      </c>
    </row>
    <row r="1218" spans="1:9">
      <c r="A1218" s="7" t="s">
        <v>1477</v>
      </c>
      <c r="B1218" s="7">
        <v>4286</v>
      </c>
      <c r="C1218" s="7" t="str">
        <f t="shared" si="54"/>
        <v>070510000</v>
      </c>
      <c r="D1218" s="7" t="s">
        <v>1479</v>
      </c>
      <c r="E1218" s="7">
        <v>89571</v>
      </c>
      <c r="F1218" s="7" t="str">
        <f>"070510290"</f>
        <v>070510290</v>
      </c>
      <c r="G1218" s="7" t="s">
        <v>26</v>
      </c>
      <c r="H1218" s="7">
        <v>1951</v>
      </c>
      <c r="I1218" s="11">
        <v>0.57999999999999996</v>
      </c>
    </row>
    <row r="1219" spans="1:9">
      <c r="A1219" s="7" t="s">
        <v>1477</v>
      </c>
      <c r="B1219" s="7">
        <v>4286</v>
      </c>
      <c r="C1219" s="7" t="str">
        <f t="shared" si="54"/>
        <v>070510000</v>
      </c>
      <c r="D1219" s="7" t="s">
        <v>1480</v>
      </c>
      <c r="E1219" s="7">
        <v>6249</v>
      </c>
      <c r="F1219" s="7" t="str">
        <f>"070510214"</f>
        <v>070510214</v>
      </c>
      <c r="G1219" s="7" t="s">
        <v>26</v>
      </c>
      <c r="H1219" s="7">
        <v>359</v>
      </c>
      <c r="I1219" s="11">
        <v>0.91</v>
      </c>
    </row>
    <row r="1220" spans="1:9">
      <c r="A1220" s="7" t="s">
        <v>1477</v>
      </c>
      <c r="B1220" s="7">
        <v>4286</v>
      </c>
      <c r="C1220" s="7" t="str">
        <f t="shared" si="54"/>
        <v>070510000</v>
      </c>
      <c r="D1220" s="7" t="s">
        <v>1481</v>
      </c>
      <c r="E1220" s="7">
        <v>5438</v>
      </c>
      <c r="F1220" s="7" t="str">
        <f>"070510225"</f>
        <v>070510225</v>
      </c>
      <c r="G1220" s="7" t="s">
        <v>26</v>
      </c>
      <c r="H1220" s="7">
        <v>2212</v>
      </c>
      <c r="I1220" s="11">
        <v>0.86</v>
      </c>
    </row>
    <row r="1221" spans="1:9">
      <c r="A1221" s="7" t="s">
        <v>1477</v>
      </c>
      <c r="B1221" s="7">
        <v>4286</v>
      </c>
      <c r="C1221" s="7" t="str">
        <f t="shared" si="54"/>
        <v>070510000</v>
      </c>
      <c r="D1221" s="7" t="s">
        <v>1482</v>
      </c>
      <c r="E1221" s="7">
        <v>5440</v>
      </c>
      <c r="F1221" s="7" t="str">
        <f>"070510245"</f>
        <v>070510245</v>
      </c>
      <c r="G1221" s="7" t="s">
        <v>26</v>
      </c>
      <c r="H1221" s="7">
        <v>2081</v>
      </c>
      <c r="I1221" s="11">
        <v>0.93</v>
      </c>
    </row>
    <row r="1222" spans="1:9">
      <c r="A1222" s="7" t="s">
        <v>1477</v>
      </c>
      <c r="B1222" s="7">
        <v>4286</v>
      </c>
      <c r="C1222" s="7" t="str">
        <f t="shared" si="54"/>
        <v>070510000</v>
      </c>
      <c r="D1222" s="7" t="s">
        <v>1483</v>
      </c>
      <c r="E1222" s="7">
        <v>5439</v>
      </c>
      <c r="F1222" s="7" t="str">
        <f>"070510230"</f>
        <v>070510230</v>
      </c>
      <c r="G1222" s="7" t="s">
        <v>26</v>
      </c>
      <c r="H1222" s="7">
        <v>1773</v>
      </c>
      <c r="I1222" s="11">
        <v>0.92</v>
      </c>
    </row>
    <row r="1223" spans="1:9">
      <c r="A1223" s="7" t="s">
        <v>1477</v>
      </c>
      <c r="B1223" s="7">
        <v>4286</v>
      </c>
      <c r="C1223" s="7" t="str">
        <f t="shared" si="54"/>
        <v>070510000</v>
      </c>
      <c r="D1223" s="7" t="s">
        <v>1484</v>
      </c>
      <c r="E1223" s="7">
        <v>78847</v>
      </c>
      <c r="F1223" s="7" t="str">
        <f>"070510270"</f>
        <v>070510270</v>
      </c>
      <c r="G1223" s="7" t="s">
        <v>26</v>
      </c>
      <c r="H1223" s="7">
        <v>2662</v>
      </c>
      <c r="I1223" s="11">
        <v>0.62</v>
      </c>
    </row>
    <row r="1224" spans="1:9" ht="28.5">
      <c r="A1224" s="7" t="s">
        <v>1477</v>
      </c>
      <c r="B1224" s="7">
        <v>4286</v>
      </c>
      <c r="C1224" s="7" t="str">
        <f t="shared" si="54"/>
        <v>070510000</v>
      </c>
      <c r="D1224" s="7" t="s">
        <v>1485</v>
      </c>
      <c r="E1224" s="7">
        <v>89778</v>
      </c>
      <c r="F1224" s="7" t="str">
        <f>"070510281"</f>
        <v>070510281</v>
      </c>
      <c r="G1224" s="7" t="s">
        <v>26</v>
      </c>
      <c r="H1224" s="7">
        <v>326</v>
      </c>
      <c r="I1224" s="11">
        <v>0.89</v>
      </c>
    </row>
    <row r="1225" spans="1:9">
      <c r="A1225" s="7" t="s">
        <v>1477</v>
      </c>
      <c r="B1225" s="7">
        <v>4286</v>
      </c>
      <c r="C1225" s="7" t="str">
        <f t="shared" si="54"/>
        <v>070510000</v>
      </c>
      <c r="D1225" s="7" t="s">
        <v>1486</v>
      </c>
      <c r="E1225" s="7">
        <v>79617</v>
      </c>
      <c r="F1225" s="7" t="str">
        <f>"070510280"</f>
        <v>070510280</v>
      </c>
      <c r="G1225" s="7" t="s">
        <v>26</v>
      </c>
      <c r="H1225" s="7">
        <v>295</v>
      </c>
      <c r="I1225" s="11">
        <v>0.78</v>
      </c>
    </row>
    <row r="1226" spans="1:9">
      <c r="A1226" s="7" t="s">
        <v>1477</v>
      </c>
      <c r="B1226" s="7">
        <v>4286</v>
      </c>
      <c r="C1226" s="7" t="str">
        <f t="shared" si="54"/>
        <v>070510000</v>
      </c>
      <c r="D1226" s="7" t="s">
        <v>1487</v>
      </c>
      <c r="E1226" s="7">
        <v>5441</v>
      </c>
      <c r="F1226" s="7" t="str">
        <f>"070510250"</f>
        <v>070510250</v>
      </c>
      <c r="G1226" s="7" t="s">
        <v>26</v>
      </c>
      <c r="H1226" s="7">
        <v>2707</v>
      </c>
      <c r="I1226" s="11">
        <v>0.89</v>
      </c>
    </row>
    <row r="1227" spans="1:9">
      <c r="A1227" s="7" t="s">
        <v>1477</v>
      </c>
      <c r="B1227" s="7">
        <v>4286</v>
      </c>
      <c r="C1227" s="7" t="str">
        <f t="shared" si="54"/>
        <v>070510000</v>
      </c>
      <c r="D1227" s="7" t="s">
        <v>1488</v>
      </c>
      <c r="E1227" s="7">
        <v>6248</v>
      </c>
      <c r="F1227" s="7" t="str">
        <f>"070510212"</f>
        <v>070510212</v>
      </c>
      <c r="G1227" s="7" t="s">
        <v>26</v>
      </c>
      <c r="H1227" s="7">
        <v>1927</v>
      </c>
      <c r="I1227" s="11">
        <v>0.9</v>
      </c>
    </row>
    <row r="1228" spans="1:9">
      <c r="A1228" s="7" t="s">
        <v>1477</v>
      </c>
      <c r="B1228" s="7">
        <v>4286</v>
      </c>
      <c r="C1228" s="7" t="str">
        <f t="shared" si="54"/>
        <v>070510000</v>
      </c>
      <c r="D1228" s="7" t="s">
        <v>1489</v>
      </c>
      <c r="E1228" s="7">
        <v>5442</v>
      </c>
      <c r="F1228" s="7" t="str">
        <f>"070510255"</f>
        <v>070510255</v>
      </c>
      <c r="G1228" s="7" t="s">
        <v>26</v>
      </c>
      <c r="H1228" s="7">
        <v>1950</v>
      </c>
      <c r="I1228" s="11">
        <v>0.86</v>
      </c>
    </row>
    <row r="1229" spans="1:9">
      <c r="A1229" s="7" t="s">
        <v>1477</v>
      </c>
      <c r="B1229" s="7">
        <v>4286</v>
      </c>
      <c r="C1229" s="7" t="str">
        <f t="shared" si="54"/>
        <v>070510000</v>
      </c>
      <c r="D1229" s="7" t="s">
        <v>1490</v>
      </c>
      <c r="E1229" s="7">
        <v>221992</v>
      </c>
      <c r="F1229" s="7" t="str">
        <f>"070510283"</f>
        <v>070510283</v>
      </c>
      <c r="G1229" s="7" t="s">
        <v>26</v>
      </c>
      <c r="H1229" s="7">
        <v>239</v>
      </c>
      <c r="I1229" s="11">
        <v>0.72</v>
      </c>
    </row>
    <row r="1230" spans="1:9">
      <c r="A1230" s="7" t="s">
        <v>1477</v>
      </c>
      <c r="B1230" s="7">
        <v>4286</v>
      </c>
      <c r="C1230" s="7" t="str">
        <f t="shared" si="54"/>
        <v>070510000</v>
      </c>
      <c r="D1230" s="7" t="s">
        <v>1491</v>
      </c>
      <c r="E1230" s="7">
        <v>1002004</v>
      </c>
      <c r="F1230" s="7" t="str">
        <f>"070510235"</f>
        <v>070510235</v>
      </c>
      <c r="H1230" s="7" t="s">
        <v>651</v>
      </c>
      <c r="I1230" s="11">
        <v>0.8</v>
      </c>
    </row>
    <row r="1231" spans="1:9" ht="28.5">
      <c r="A1231" s="7" t="s">
        <v>1477</v>
      </c>
      <c r="B1231" s="7">
        <v>4286</v>
      </c>
      <c r="C1231" s="7" t="str">
        <f t="shared" si="54"/>
        <v>070510000</v>
      </c>
      <c r="D1231" s="7" t="s">
        <v>1492</v>
      </c>
      <c r="E1231" s="7">
        <v>88407</v>
      </c>
      <c r="F1231" s="7" t="str">
        <f>"070510284"</f>
        <v>070510284</v>
      </c>
      <c r="G1231" s="7" t="s">
        <v>26</v>
      </c>
      <c r="H1231" s="7">
        <v>392</v>
      </c>
      <c r="I1231" s="11">
        <v>0.64</v>
      </c>
    </row>
    <row r="1232" spans="1:9" ht="28.5">
      <c r="A1232" s="7" t="s">
        <v>1477</v>
      </c>
      <c r="B1232" s="7">
        <v>4286</v>
      </c>
      <c r="C1232" s="7" t="str">
        <f t="shared" si="54"/>
        <v>070510000</v>
      </c>
      <c r="D1232" s="7" t="s">
        <v>1493</v>
      </c>
      <c r="E1232" s="7">
        <v>128903</v>
      </c>
      <c r="F1232" s="7" t="str">
        <f>"070510011"</f>
        <v>070510011</v>
      </c>
      <c r="G1232" s="7" t="s">
        <v>26</v>
      </c>
      <c r="H1232" s="7">
        <v>203</v>
      </c>
      <c r="I1232" s="11">
        <v>0.85</v>
      </c>
    </row>
    <row r="1233" spans="1:9">
      <c r="A1233" s="7" t="s">
        <v>1477</v>
      </c>
      <c r="B1233" s="7">
        <v>4286</v>
      </c>
      <c r="C1233" s="7" t="str">
        <f t="shared" si="54"/>
        <v>070510000</v>
      </c>
      <c r="D1233" s="7" t="s">
        <v>1494</v>
      </c>
      <c r="E1233" s="7">
        <v>5443</v>
      </c>
      <c r="F1233" s="7" t="str">
        <f>"070510260"</f>
        <v>070510260</v>
      </c>
      <c r="G1233" s="7" t="s">
        <v>26</v>
      </c>
      <c r="H1233" s="7">
        <v>2211</v>
      </c>
      <c r="I1233" s="11">
        <v>0.84</v>
      </c>
    </row>
    <row r="1234" spans="1:9">
      <c r="A1234" s="7" t="s">
        <v>1477</v>
      </c>
      <c r="B1234" s="7">
        <v>4286</v>
      </c>
      <c r="C1234" s="7" t="str">
        <f t="shared" si="54"/>
        <v>070510000</v>
      </c>
      <c r="D1234" s="7" t="s">
        <v>1495</v>
      </c>
      <c r="E1234" s="7">
        <v>5437</v>
      </c>
      <c r="F1234" s="7" t="str">
        <f>"070510220"</f>
        <v>070510220</v>
      </c>
      <c r="G1234" s="7" t="s">
        <v>26</v>
      </c>
      <c r="H1234" s="7">
        <v>2850</v>
      </c>
      <c r="I1234" s="11">
        <v>0.88</v>
      </c>
    </row>
    <row r="1235" spans="1:9" ht="28.5">
      <c r="A1235" s="7" t="s">
        <v>1496</v>
      </c>
      <c r="B1235" s="7">
        <v>4452</v>
      </c>
      <c r="C1235" s="7" t="str">
        <f>"110433000"</f>
        <v>110433000</v>
      </c>
      <c r="D1235" s="7" t="s">
        <v>1497</v>
      </c>
      <c r="E1235" s="7">
        <v>5947</v>
      </c>
      <c r="F1235" s="7" t="str">
        <f>"110433133"</f>
        <v>110433133</v>
      </c>
      <c r="G1235" s="7" t="s">
        <v>16</v>
      </c>
      <c r="H1235" s="7">
        <v>144</v>
      </c>
      <c r="I1235" s="11" t="s">
        <v>17</v>
      </c>
    </row>
    <row r="1236" spans="1:9">
      <c r="A1236" s="7" t="s">
        <v>1498</v>
      </c>
      <c r="B1236" s="7">
        <v>80136</v>
      </c>
      <c r="C1236" s="7" t="str">
        <f>"101002000"</f>
        <v>101002000</v>
      </c>
      <c r="D1236" s="7" t="s">
        <v>1499</v>
      </c>
      <c r="E1236" s="7">
        <v>80137</v>
      </c>
      <c r="F1236" s="7" t="str">
        <f>"101002001"</f>
        <v>101002001</v>
      </c>
      <c r="H1236" s="7">
        <v>27</v>
      </c>
      <c r="I1236" s="11" t="s">
        <v>17</v>
      </c>
    </row>
    <row r="1237" spans="1:9">
      <c r="A1237" s="7" t="s">
        <v>1500</v>
      </c>
      <c r="B1237" s="7">
        <v>80138</v>
      </c>
      <c r="C1237" s="7" t="str">
        <f>"101001000"</f>
        <v>101001000</v>
      </c>
      <c r="D1237" s="7" t="s">
        <v>1501</v>
      </c>
      <c r="E1237" s="7">
        <v>80139</v>
      </c>
      <c r="F1237" s="7" t="str">
        <f>"101001001"</f>
        <v>101001001</v>
      </c>
      <c r="H1237" s="7">
        <v>22</v>
      </c>
      <c r="I1237" s="11" t="s">
        <v>17</v>
      </c>
    </row>
    <row r="1238" spans="1:9" ht="28.5">
      <c r="A1238" s="7" t="s">
        <v>1502</v>
      </c>
      <c r="B1238" s="7">
        <v>90536</v>
      </c>
      <c r="C1238" s="7" t="str">
        <f>"108507000"</f>
        <v>108507000</v>
      </c>
      <c r="D1238" s="7" t="s">
        <v>1503</v>
      </c>
      <c r="E1238" s="7">
        <v>90907</v>
      </c>
      <c r="F1238" s="7" t="str">
        <f>"108507001"</f>
        <v>108507001</v>
      </c>
      <c r="G1238" s="7" t="s">
        <v>16</v>
      </c>
      <c r="H1238" s="7">
        <v>144</v>
      </c>
      <c r="I1238" s="11">
        <v>0.65</v>
      </c>
    </row>
    <row r="1239" spans="1:9" ht="28.5">
      <c r="A1239" s="7" t="s">
        <v>1504</v>
      </c>
      <c r="B1239" s="7">
        <v>89864</v>
      </c>
      <c r="C1239" s="7" t="str">
        <f>"108799000"</f>
        <v>108799000</v>
      </c>
      <c r="D1239" s="7" t="s">
        <v>1505</v>
      </c>
      <c r="E1239" s="7">
        <v>89865</v>
      </c>
      <c r="F1239" s="7" t="str">
        <f>"108799101"</f>
        <v>108799101</v>
      </c>
      <c r="G1239" s="7" t="s">
        <v>16</v>
      </c>
      <c r="H1239" s="7">
        <v>43</v>
      </c>
      <c r="I1239" s="11" t="s">
        <v>17</v>
      </c>
    </row>
    <row r="1240" spans="1:9" ht="28.5">
      <c r="A1240" s="7" t="s">
        <v>1506</v>
      </c>
      <c r="B1240" s="7">
        <v>79959</v>
      </c>
      <c r="C1240" s="7" t="str">
        <f>"108711000"</f>
        <v>108711000</v>
      </c>
      <c r="D1240" s="7" t="s">
        <v>1507</v>
      </c>
      <c r="E1240" s="7">
        <v>79960</v>
      </c>
      <c r="F1240" s="7" t="str">
        <f>"108711201"</f>
        <v>108711201</v>
      </c>
      <c r="G1240" s="7" t="s">
        <v>16</v>
      </c>
      <c r="H1240" s="7">
        <v>124</v>
      </c>
      <c r="I1240" s="11">
        <v>0.88</v>
      </c>
    </row>
    <row r="1241" spans="1:9">
      <c r="A1241" s="7" t="s">
        <v>1508</v>
      </c>
      <c r="B1241" s="7">
        <v>4220</v>
      </c>
      <c r="C1241" s="7" t="str">
        <f>"050206000"</f>
        <v>050206000</v>
      </c>
      <c r="D1241" s="7" t="s">
        <v>1509</v>
      </c>
      <c r="E1241" s="7">
        <v>4879</v>
      </c>
      <c r="F1241" s="7" t="str">
        <f>"050199001"</f>
        <v>050199001</v>
      </c>
      <c r="H1241" s="7">
        <v>82</v>
      </c>
      <c r="I1241" s="11">
        <v>0.49</v>
      </c>
    </row>
    <row r="1242" spans="1:9">
      <c r="A1242" s="7" t="s">
        <v>1508</v>
      </c>
      <c r="B1242" s="7">
        <v>4220</v>
      </c>
      <c r="C1242" s="7" t="str">
        <f>"050206000"</f>
        <v>050206000</v>
      </c>
      <c r="D1242" s="7" t="s">
        <v>1510</v>
      </c>
      <c r="E1242" s="7">
        <v>4890</v>
      </c>
      <c r="F1242" s="7" t="str">
        <f>"050206101"</f>
        <v>050206101</v>
      </c>
      <c r="H1242" s="7">
        <v>533</v>
      </c>
      <c r="I1242" s="11">
        <v>0.53</v>
      </c>
    </row>
    <row r="1243" spans="1:9">
      <c r="A1243" s="7" t="s">
        <v>1508</v>
      </c>
      <c r="B1243" s="7">
        <v>4220</v>
      </c>
      <c r="C1243" s="7" t="str">
        <f>"050206000"</f>
        <v>050206000</v>
      </c>
      <c r="D1243" s="7" t="s">
        <v>1511</v>
      </c>
      <c r="E1243" s="7">
        <v>4891</v>
      </c>
      <c r="F1243" s="7" t="str">
        <f>"050206202"</f>
        <v>050206202</v>
      </c>
      <c r="H1243" s="7">
        <v>391</v>
      </c>
      <c r="I1243" s="11">
        <v>0.38</v>
      </c>
    </row>
    <row r="1244" spans="1:9">
      <c r="A1244" s="7" t="s">
        <v>1508</v>
      </c>
      <c r="B1244" s="7">
        <v>4220</v>
      </c>
      <c r="C1244" s="7" t="str">
        <f>"050206000"</f>
        <v>050206000</v>
      </c>
      <c r="D1244" s="7" t="s">
        <v>1512</v>
      </c>
      <c r="E1244" s="7">
        <v>81056</v>
      </c>
      <c r="F1244" s="7" t="str">
        <f>"050206203"</f>
        <v>050206203</v>
      </c>
      <c r="H1244" s="7">
        <v>198</v>
      </c>
      <c r="I1244" s="11">
        <v>0.41</v>
      </c>
    </row>
    <row r="1245" spans="1:9">
      <c r="A1245" s="7" t="s">
        <v>1513</v>
      </c>
      <c r="B1245" s="7">
        <v>79534</v>
      </c>
      <c r="C1245" s="7" t="str">
        <f>"211022000"</f>
        <v>211022000</v>
      </c>
      <c r="D1245" s="7" t="s">
        <v>1514</v>
      </c>
      <c r="E1245" s="7">
        <v>90745</v>
      </c>
      <c r="F1245" s="7" t="str">
        <f>"116012001"</f>
        <v>116012001</v>
      </c>
      <c r="H1245" s="7">
        <v>58</v>
      </c>
      <c r="I1245" s="11" t="s">
        <v>17</v>
      </c>
    </row>
    <row r="1246" spans="1:9" ht="28.5">
      <c r="A1246" s="7" t="s">
        <v>1515</v>
      </c>
      <c r="B1246" s="7">
        <v>80140</v>
      </c>
      <c r="C1246" s="7" t="str">
        <f>"014009000"</f>
        <v>014009000</v>
      </c>
      <c r="D1246" s="7" t="s">
        <v>1515</v>
      </c>
      <c r="E1246" s="7">
        <v>80141</v>
      </c>
      <c r="F1246" s="7" t="str">
        <f>"014012001"</f>
        <v>014012001</v>
      </c>
      <c r="G1246" s="7" t="s">
        <v>16</v>
      </c>
      <c r="H1246" s="7">
        <v>43</v>
      </c>
      <c r="I1246" s="12">
        <v>0.94</v>
      </c>
    </row>
    <row r="1247" spans="1:9">
      <c r="A1247" s="7" t="s">
        <v>1516</v>
      </c>
      <c r="B1247" s="7">
        <v>4214</v>
      </c>
      <c r="C1247" s="7" t="str">
        <f>"040312000"</f>
        <v>040312000</v>
      </c>
      <c r="D1247" s="7" t="s">
        <v>1517</v>
      </c>
      <c r="E1247" s="7">
        <v>4876</v>
      </c>
      <c r="F1247" s="7" t="str">
        <f>"040312001"</f>
        <v>040312001</v>
      </c>
      <c r="H1247" s="7">
        <v>112</v>
      </c>
      <c r="I1247" s="11">
        <v>0.63</v>
      </c>
    </row>
    <row r="1248" spans="1:9" ht="28.5">
      <c r="A1248" s="7" t="s">
        <v>1518</v>
      </c>
      <c r="B1248" s="7">
        <v>80375</v>
      </c>
      <c r="C1248" s="7" t="str">
        <f>"093915000"</f>
        <v>093915000</v>
      </c>
      <c r="D1248" s="7" t="s">
        <v>1519</v>
      </c>
      <c r="E1248" s="7">
        <v>80376</v>
      </c>
      <c r="F1248" s="7" t="str">
        <f>"093915001"</f>
        <v>093915001</v>
      </c>
      <c r="G1248" s="7" t="s">
        <v>16</v>
      </c>
      <c r="H1248" s="7">
        <v>50</v>
      </c>
      <c r="I1248" s="11" t="s">
        <v>17</v>
      </c>
    </row>
    <row r="1249" spans="1:9" ht="28.5">
      <c r="A1249" s="7" t="s">
        <v>1520</v>
      </c>
      <c r="B1249" s="7">
        <v>4390</v>
      </c>
      <c r="C1249" s="7" t="str">
        <f>"090204000"</f>
        <v>090204000</v>
      </c>
      <c r="D1249" s="7" t="s">
        <v>1521</v>
      </c>
      <c r="E1249" s="7">
        <v>5612</v>
      </c>
      <c r="F1249" s="7" t="str">
        <f>"090204102"</f>
        <v>090204102</v>
      </c>
      <c r="G1249" s="7" t="s">
        <v>16</v>
      </c>
      <c r="H1249" s="7">
        <v>266</v>
      </c>
      <c r="I1249" s="11" t="s">
        <v>17</v>
      </c>
    </row>
    <row r="1250" spans="1:9" ht="28.5">
      <c r="A1250" s="7" t="s">
        <v>1520</v>
      </c>
      <c r="B1250" s="7">
        <v>4390</v>
      </c>
      <c r="C1250" s="7" t="str">
        <f>"090204000"</f>
        <v>090204000</v>
      </c>
      <c r="D1250" s="7" t="s">
        <v>1522</v>
      </c>
      <c r="E1250" s="7">
        <v>5611</v>
      </c>
      <c r="F1250" s="7" t="str">
        <f>"090204101"</f>
        <v>090204101</v>
      </c>
      <c r="G1250" s="7" t="s">
        <v>16</v>
      </c>
      <c r="H1250" s="7">
        <v>442</v>
      </c>
      <c r="I1250" s="11" t="s">
        <v>17</v>
      </c>
    </row>
    <row r="1251" spans="1:9" ht="28.5">
      <c r="A1251" s="7" t="s">
        <v>1520</v>
      </c>
      <c r="B1251" s="7">
        <v>4390</v>
      </c>
      <c r="C1251" s="7" t="str">
        <f>"090204000"</f>
        <v>090204000</v>
      </c>
      <c r="D1251" s="7" t="s">
        <v>1523</v>
      </c>
      <c r="E1251" s="7">
        <v>5613</v>
      </c>
      <c r="F1251" s="7" t="str">
        <f>"090204203"</f>
        <v>090204203</v>
      </c>
      <c r="G1251" s="7" t="s">
        <v>16</v>
      </c>
      <c r="H1251" s="7">
        <v>344</v>
      </c>
      <c r="I1251" s="11" t="s">
        <v>17</v>
      </c>
    </row>
    <row r="1252" spans="1:9" ht="28.5">
      <c r="A1252" s="7" t="s">
        <v>1524</v>
      </c>
      <c r="B1252" s="7">
        <v>90140</v>
      </c>
      <c r="C1252" s="7" t="str">
        <f>"078550000"</f>
        <v>078550000</v>
      </c>
      <c r="D1252" s="7" t="s">
        <v>1525</v>
      </c>
      <c r="E1252" s="7">
        <v>90141</v>
      </c>
      <c r="F1252" s="7" t="str">
        <f>"078550001"</f>
        <v>078550001</v>
      </c>
      <c r="H1252" s="7">
        <v>453</v>
      </c>
      <c r="I1252" s="11">
        <v>0.89</v>
      </c>
    </row>
    <row r="1253" spans="1:9">
      <c r="A1253" s="7" t="s">
        <v>1526</v>
      </c>
      <c r="B1253" s="7">
        <v>4188</v>
      </c>
      <c r="C1253" s="7" t="str">
        <f>"020364000"</f>
        <v>020364000</v>
      </c>
      <c r="D1253" s="7" t="s">
        <v>1527</v>
      </c>
      <c r="E1253" s="7">
        <v>4798</v>
      </c>
      <c r="F1253" s="7" t="str">
        <f>"020364101"</f>
        <v>020364101</v>
      </c>
      <c r="H1253" s="7">
        <v>115</v>
      </c>
      <c r="I1253" s="11">
        <v>0.53</v>
      </c>
    </row>
    <row r="1254" spans="1:9" ht="28.5">
      <c r="A1254" s="7" t="s">
        <v>1528</v>
      </c>
      <c r="B1254" s="7">
        <v>4431</v>
      </c>
      <c r="C1254" s="7" t="str">
        <f t="shared" ref="C1254:C1259" si="55">"108744000"</f>
        <v>108744000</v>
      </c>
      <c r="D1254" s="7" t="s">
        <v>1529</v>
      </c>
      <c r="E1254" s="7">
        <v>5876</v>
      </c>
      <c r="F1254" s="7" t="str">
        <f>"108744204"</f>
        <v>108744204</v>
      </c>
      <c r="G1254" s="7" t="s">
        <v>16</v>
      </c>
      <c r="H1254" s="7">
        <v>106</v>
      </c>
      <c r="I1254" s="11" t="s">
        <v>17</v>
      </c>
    </row>
    <row r="1255" spans="1:9" ht="28.5">
      <c r="A1255" s="7" t="s">
        <v>1528</v>
      </c>
      <c r="B1255" s="7">
        <v>4431</v>
      </c>
      <c r="C1255" s="7" t="str">
        <f t="shared" si="55"/>
        <v>108744000</v>
      </c>
      <c r="D1255" s="7" t="s">
        <v>1530</v>
      </c>
      <c r="E1255" s="7">
        <v>5873</v>
      </c>
      <c r="F1255" s="7" t="str">
        <f>"108744201"</f>
        <v>108744201</v>
      </c>
      <c r="G1255" s="7" t="s">
        <v>16</v>
      </c>
      <c r="H1255" s="7">
        <v>134</v>
      </c>
      <c r="I1255" s="11" t="s">
        <v>17</v>
      </c>
    </row>
    <row r="1256" spans="1:9" ht="28.5">
      <c r="A1256" s="7" t="s">
        <v>1528</v>
      </c>
      <c r="B1256" s="7">
        <v>4431</v>
      </c>
      <c r="C1256" s="7" t="str">
        <f t="shared" si="55"/>
        <v>108744000</v>
      </c>
      <c r="D1256" s="7" t="s">
        <v>1531</v>
      </c>
      <c r="E1256" s="7">
        <v>5878</v>
      </c>
      <c r="F1256" s="7" t="str">
        <f>"108744206"</f>
        <v>108744206</v>
      </c>
      <c r="G1256" s="7" t="s">
        <v>16</v>
      </c>
      <c r="H1256" s="7">
        <v>174</v>
      </c>
      <c r="I1256" s="11" t="s">
        <v>17</v>
      </c>
    </row>
    <row r="1257" spans="1:9" ht="28.5">
      <c r="A1257" s="7" t="s">
        <v>1528</v>
      </c>
      <c r="B1257" s="7">
        <v>4431</v>
      </c>
      <c r="C1257" s="7" t="str">
        <f t="shared" si="55"/>
        <v>108744000</v>
      </c>
      <c r="D1257" s="7" t="s">
        <v>1532</v>
      </c>
      <c r="E1257" s="7">
        <v>5880</v>
      </c>
      <c r="F1257" s="7" t="str">
        <f>"108744208"</f>
        <v>108744208</v>
      </c>
      <c r="G1257" s="7" t="s">
        <v>16</v>
      </c>
      <c r="H1257" s="7">
        <v>105</v>
      </c>
      <c r="I1257" s="11" t="s">
        <v>17</v>
      </c>
    </row>
    <row r="1258" spans="1:9" ht="28.5">
      <c r="A1258" s="7" t="s">
        <v>1528</v>
      </c>
      <c r="B1258" s="7">
        <v>4431</v>
      </c>
      <c r="C1258" s="7" t="str">
        <f t="shared" si="55"/>
        <v>108744000</v>
      </c>
      <c r="D1258" s="7" t="s">
        <v>1533</v>
      </c>
      <c r="E1258" s="7">
        <v>5879</v>
      </c>
      <c r="F1258" s="7" t="str">
        <f>"108744207"</f>
        <v>108744207</v>
      </c>
      <c r="G1258" s="7" t="s">
        <v>16</v>
      </c>
      <c r="H1258" s="7">
        <v>104</v>
      </c>
      <c r="I1258" s="11" t="s">
        <v>17</v>
      </c>
    </row>
    <row r="1259" spans="1:9" ht="28.5">
      <c r="A1259" s="7" t="s">
        <v>1528</v>
      </c>
      <c r="B1259" s="7">
        <v>4431</v>
      </c>
      <c r="C1259" s="7" t="str">
        <f t="shared" si="55"/>
        <v>108744000</v>
      </c>
      <c r="D1259" s="7" t="s">
        <v>1534</v>
      </c>
      <c r="E1259" s="7">
        <v>5877</v>
      </c>
      <c r="F1259" s="7" t="str">
        <f>"108744205"</f>
        <v>108744205</v>
      </c>
      <c r="G1259" s="7" t="s">
        <v>16</v>
      </c>
      <c r="H1259" s="7">
        <v>176</v>
      </c>
      <c r="I1259" s="11">
        <v>0.93</v>
      </c>
    </row>
    <row r="1260" spans="1:9">
      <c r="A1260" s="7" t="s">
        <v>1535</v>
      </c>
      <c r="B1260" s="7">
        <v>79569</v>
      </c>
      <c r="C1260" s="7" t="str">
        <f>"078939000"</f>
        <v>078939000</v>
      </c>
      <c r="D1260" s="7" t="s">
        <v>1535</v>
      </c>
      <c r="E1260" s="7">
        <v>79570</v>
      </c>
      <c r="F1260" s="7" t="str">
        <f>"078939201"</f>
        <v>078939201</v>
      </c>
      <c r="H1260" s="7">
        <v>178</v>
      </c>
      <c r="I1260" s="11">
        <v>0.9</v>
      </c>
    </row>
    <row r="1261" spans="1:9">
      <c r="A1261" s="7" t="s">
        <v>1536</v>
      </c>
      <c r="B1261" s="7">
        <v>4466</v>
      </c>
      <c r="C1261" s="7" t="str">
        <f t="shared" ref="C1261:C1267" si="56">"130201000"</f>
        <v>130201000</v>
      </c>
      <c r="D1261" s="7" t="s">
        <v>1537</v>
      </c>
      <c r="E1261" s="7">
        <v>8132</v>
      </c>
      <c r="F1261" s="7" t="str">
        <f>"130201016"</f>
        <v>130201016</v>
      </c>
      <c r="H1261" s="7">
        <v>496</v>
      </c>
      <c r="I1261" s="11">
        <v>0.41</v>
      </c>
    </row>
    <row r="1262" spans="1:9">
      <c r="A1262" s="7" t="s">
        <v>1536</v>
      </c>
      <c r="B1262" s="7">
        <v>4466</v>
      </c>
      <c r="C1262" s="7" t="str">
        <f t="shared" si="56"/>
        <v>130201000</v>
      </c>
      <c r="D1262" s="7" t="s">
        <v>1538</v>
      </c>
      <c r="E1262" s="7">
        <v>8134</v>
      </c>
      <c r="F1262" s="7" t="str">
        <f>"130201060"</f>
        <v>130201060</v>
      </c>
      <c r="H1262" s="7">
        <v>488</v>
      </c>
      <c r="I1262" s="11">
        <v>0.42</v>
      </c>
    </row>
    <row r="1263" spans="1:9">
      <c r="A1263" s="7" t="s">
        <v>1536</v>
      </c>
      <c r="B1263" s="7">
        <v>4466</v>
      </c>
      <c r="C1263" s="7" t="str">
        <f t="shared" si="56"/>
        <v>130201000</v>
      </c>
      <c r="D1263" s="7" t="s">
        <v>1199</v>
      </c>
      <c r="E1263" s="7">
        <v>8128</v>
      </c>
      <c r="F1263" s="7" t="str">
        <f>"130201012"</f>
        <v>130201012</v>
      </c>
      <c r="H1263" s="7">
        <v>297</v>
      </c>
      <c r="I1263" s="11">
        <v>0.54</v>
      </c>
    </row>
    <row r="1264" spans="1:9">
      <c r="A1264" s="7" t="s">
        <v>1536</v>
      </c>
      <c r="B1264" s="7">
        <v>4466</v>
      </c>
      <c r="C1264" s="7" t="str">
        <f t="shared" si="56"/>
        <v>130201000</v>
      </c>
      <c r="D1264" s="7" t="s">
        <v>1539</v>
      </c>
      <c r="E1264" s="7">
        <v>8135</v>
      </c>
      <c r="F1264" s="7" t="str">
        <f>"130201070"</f>
        <v>130201070</v>
      </c>
      <c r="H1264" s="7">
        <v>1545</v>
      </c>
      <c r="I1264" s="11">
        <v>0.26</v>
      </c>
    </row>
    <row r="1265" spans="1:9">
      <c r="A1265" s="7" t="s">
        <v>1536</v>
      </c>
      <c r="B1265" s="7">
        <v>4466</v>
      </c>
      <c r="C1265" s="7" t="str">
        <f t="shared" si="56"/>
        <v>130201000</v>
      </c>
      <c r="D1265" s="7" t="s">
        <v>1540</v>
      </c>
      <c r="E1265" s="7">
        <v>8133</v>
      </c>
      <c r="F1265" s="7" t="str">
        <f>"130201050"</f>
        <v>130201050</v>
      </c>
      <c r="H1265" s="7">
        <v>552</v>
      </c>
      <c r="I1265" s="11">
        <v>0.39</v>
      </c>
    </row>
    <row r="1266" spans="1:9">
      <c r="A1266" s="7" t="s">
        <v>1536</v>
      </c>
      <c r="B1266" s="7">
        <v>4466</v>
      </c>
      <c r="C1266" s="7" t="str">
        <f t="shared" si="56"/>
        <v>130201000</v>
      </c>
      <c r="D1266" s="7" t="s">
        <v>1541</v>
      </c>
      <c r="E1266" s="7">
        <v>80184</v>
      </c>
      <c r="F1266" s="7" t="str">
        <f>"139101017"</f>
        <v>139101017</v>
      </c>
      <c r="H1266" s="7">
        <v>150</v>
      </c>
      <c r="I1266" s="11">
        <v>0.19</v>
      </c>
    </row>
    <row r="1267" spans="1:9">
      <c r="A1267" s="7" t="s">
        <v>1536</v>
      </c>
      <c r="B1267" s="7">
        <v>4466</v>
      </c>
      <c r="C1267" s="7" t="str">
        <f t="shared" si="56"/>
        <v>130201000</v>
      </c>
      <c r="D1267" s="7" t="s">
        <v>1542</v>
      </c>
      <c r="E1267" s="7">
        <v>8130</v>
      </c>
      <c r="F1267" s="7" t="str">
        <f>"130201014"</f>
        <v>130201014</v>
      </c>
      <c r="H1267" s="7">
        <v>600</v>
      </c>
      <c r="I1267" s="11">
        <v>0.39</v>
      </c>
    </row>
    <row r="1268" spans="1:9">
      <c r="A1268" s="7" t="s">
        <v>1543</v>
      </c>
      <c r="B1268" s="7">
        <v>88317</v>
      </c>
      <c r="C1268" s="7" t="str">
        <f>"078516000"</f>
        <v>078516000</v>
      </c>
      <c r="D1268" s="7" t="s">
        <v>1544</v>
      </c>
      <c r="E1268" s="7">
        <v>80004</v>
      </c>
      <c r="F1268" s="7" t="str">
        <f>"078516002"</f>
        <v>078516002</v>
      </c>
      <c r="H1268" s="7">
        <v>430</v>
      </c>
      <c r="I1268" s="11">
        <v>0.75</v>
      </c>
    </row>
    <row r="1269" spans="1:9">
      <c r="A1269" s="7" t="s">
        <v>1545</v>
      </c>
      <c r="B1269" s="7">
        <v>4425</v>
      </c>
      <c r="C1269" s="7" t="str">
        <f>"108778000"</f>
        <v>108778000</v>
      </c>
      <c r="D1269" s="7" t="s">
        <v>1545</v>
      </c>
      <c r="E1269" s="7">
        <v>5865</v>
      </c>
      <c r="F1269" s="7" t="str">
        <f>"108778201"</f>
        <v>108778201</v>
      </c>
      <c r="H1269" s="7">
        <v>381</v>
      </c>
      <c r="I1269" s="11">
        <v>0.69</v>
      </c>
    </row>
    <row r="1270" spans="1:9">
      <c r="A1270" s="7" t="s">
        <v>1546</v>
      </c>
      <c r="B1270" s="7">
        <v>4511</v>
      </c>
      <c r="C1270" s="7" t="str">
        <f>"150404000"</f>
        <v>150404000</v>
      </c>
      <c r="D1270" s="7" t="s">
        <v>1547</v>
      </c>
      <c r="E1270" s="7">
        <v>6198</v>
      </c>
      <c r="F1270" s="7" t="str">
        <f>"150404101"</f>
        <v>150404101</v>
      </c>
      <c r="G1270" s="7" t="s">
        <v>26</v>
      </c>
      <c r="H1270" s="7">
        <v>168</v>
      </c>
      <c r="I1270" s="11">
        <v>0.86</v>
      </c>
    </row>
    <row r="1271" spans="1:9">
      <c r="A1271" s="7" t="s">
        <v>1548</v>
      </c>
      <c r="B1271" s="7">
        <v>4245</v>
      </c>
      <c r="C1271" s="7" t="str">
        <f t="shared" ref="C1271:C1284" si="57">"070295000"</f>
        <v>070295000</v>
      </c>
      <c r="D1271" s="7" t="s">
        <v>1549</v>
      </c>
      <c r="E1271" s="7">
        <v>1001882</v>
      </c>
      <c r="F1271" s="7" t="str">
        <f>"070295203"</f>
        <v>070295203</v>
      </c>
      <c r="H1271" s="7">
        <v>1657</v>
      </c>
      <c r="I1271" s="11">
        <v>0.25</v>
      </c>
    </row>
    <row r="1272" spans="1:9">
      <c r="A1272" s="7" t="s">
        <v>1548</v>
      </c>
      <c r="B1272" s="7">
        <v>4245</v>
      </c>
      <c r="C1272" s="7" t="str">
        <f t="shared" si="57"/>
        <v>070295000</v>
      </c>
      <c r="D1272" s="7" t="s">
        <v>1550</v>
      </c>
      <c r="E1272" s="7">
        <v>5139</v>
      </c>
      <c r="F1272" s="7" t="str">
        <f>"070295102"</f>
        <v>070295102</v>
      </c>
      <c r="H1272" s="7">
        <v>745</v>
      </c>
      <c r="I1272" s="11">
        <v>0.24</v>
      </c>
    </row>
    <row r="1273" spans="1:9">
      <c r="A1273" s="7" t="s">
        <v>1548</v>
      </c>
      <c r="B1273" s="7">
        <v>4245</v>
      </c>
      <c r="C1273" s="7" t="str">
        <f t="shared" si="57"/>
        <v>070295000</v>
      </c>
      <c r="D1273" s="7" t="s">
        <v>1551</v>
      </c>
      <c r="E1273" s="7">
        <v>1000117</v>
      </c>
      <c r="F1273" s="7" t="str">
        <f>"070295202"</f>
        <v>070295202</v>
      </c>
      <c r="H1273" s="7">
        <v>1938</v>
      </c>
      <c r="I1273" s="11">
        <v>0.2</v>
      </c>
    </row>
    <row r="1274" spans="1:9" ht="28.5">
      <c r="A1274" s="7" t="s">
        <v>1548</v>
      </c>
      <c r="B1274" s="7">
        <v>4245</v>
      </c>
      <c r="C1274" s="7" t="str">
        <f t="shared" si="57"/>
        <v>070295000</v>
      </c>
      <c r="D1274" s="7" t="s">
        <v>1552</v>
      </c>
      <c r="E1274" s="7">
        <v>390026</v>
      </c>
      <c r="F1274" s="7" t="str">
        <f>"070295107"</f>
        <v>070295107</v>
      </c>
      <c r="H1274" s="7">
        <v>1172</v>
      </c>
      <c r="I1274" s="11">
        <v>0.23</v>
      </c>
    </row>
    <row r="1275" spans="1:9" ht="28.5">
      <c r="A1275" s="7" t="s">
        <v>1548</v>
      </c>
      <c r="B1275" s="7">
        <v>4245</v>
      </c>
      <c r="C1275" s="7" t="str">
        <f t="shared" si="57"/>
        <v>070295000</v>
      </c>
      <c r="D1275" s="7" t="s">
        <v>1553</v>
      </c>
      <c r="E1275" s="7">
        <v>87478</v>
      </c>
      <c r="F1275" s="7" t="str">
        <f>"070295104"</f>
        <v>070295104</v>
      </c>
      <c r="H1275" s="7">
        <v>616</v>
      </c>
      <c r="I1275" s="11">
        <v>0.31</v>
      </c>
    </row>
    <row r="1276" spans="1:9">
      <c r="A1276" s="7" t="s">
        <v>1548</v>
      </c>
      <c r="B1276" s="7">
        <v>4245</v>
      </c>
      <c r="C1276" s="7" t="str">
        <f t="shared" si="57"/>
        <v>070295000</v>
      </c>
      <c r="D1276" s="7" t="s">
        <v>1554</v>
      </c>
      <c r="E1276" s="7">
        <v>92911</v>
      </c>
      <c r="F1276" s="7" t="str">
        <f>"070295105"</f>
        <v>070295105</v>
      </c>
      <c r="H1276" s="7">
        <v>1013</v>
      </c>
      <c r="I1276" s="11">
        <v>0.2</v>
      </c>
    </row>
    <row r="1277" spans="1:9">
      <c r="A1277" s="7" t="s">
        <v>1548</v>
      </c>
      <c r="B1277" s="7">
        <v>4245</v>
      </c>
      <c r="C1277" s="7" t="str">
        <f t="shared" si="57"/>
        <v>070295000</v>
      </c>
      <c r="D1277" s="7" t="s">
        <v>1555</v>
      </c>
      <c r="E1277" s="7">
        <v>80439</v>
      </c>
      <c r="F1277" s="7" t="str">
        <f>"070295103"</f>
        <v>070295103</v>
      </c>
      <c r="H1277" s="7">
        <v>648</v>
      </c>
      <c r="I1277" s="11">
        <v>0.26</v>
      </c>
    </row>
    <row r="1278" spans="1:9" ht="28.5">
      <c r="A1278" s="7" t="s">
        <v>1548</v>
      </c>
      <c r="B1278" s="7">
        <v>4245</v>
      </c>
      <c r="C1278" s="7" t="str">
        <f t="shared" si="57"/>
        <v>070295000</v>
      </c>
      <c r="D1278" s="7" t="s">
        <v>1556</v>
      </c>
      <c r="E1278" s="7">
        <v>1000596</v>
      </c>
      <c r="F1278" s="7" t="str">
        <f>"070295009"</f>
        <v>070295009</v>
      </c>
      <c r="H1278" s="7">
        <v>829</v>
      </c>
      <c r="I1278" s="11">
        <v>0.12</v>
      </c>
    </row>
    <row r="1279" spans="1:9" ht="28.5">
      <c r="A1279" s="7" t="s">
        <v>1548</v>
      </c>
      <c r="B1279" s="7">
        <v>4245</v>
      </c>
      <c r="C1279" s="7" t="str">
        <f t="shared" si="57"/>
        <v>070295000</v>
      </c>
      <c r="D1279" s="7" t="s">
        <v>1557</v>
      </c>
      <c r="E1279" s="7">
        <v>89912</v>
      </c>
      <c r="F1279" s="7" t="str">
        <f>"070295121"</f>
        <v>070295121</v>
      </c>
      <c r="H1279" s="7">
        <v>201</v>
      </c>
      <c r="I1279" s="11">
        <v>0.3</v>
      </c>
    </row>
    <row r="1280" spans="1:9">
      <c r="A1280" s="7" t="s">
        <v>1548</v>
      </c>
      <c r="B1280" s="7">
        <v>4245</v>
      </c>
      <c r="C1280" s="7" t="str">
        <f t="shared" si="57"/>
        <v>070295000</v>
      </c>
      <c r="D1280" s="7" t="s">
        <v>1558</v>
      </c>
      <c r="E1280" s="7">
        <v>5138</v>
      </c>
      <c r="F1280" s="7" t="str">
        <f>"070295101"</f>
        <v>070295101</v>
      </c>
      <c r="H1280" s="7">
        <v>786</v>
      </c>
      <c r="I1280" s="11">
        <v>0.31</v>
      </c>
    </row>
    <row r="1281" spans="1:9">
      <c r="A1281" s="7" t="s">
        <v>1548</v>
      </c>
      <c r="B1281" s="7">
        <v>4245</v>
      </c>
      <c r="C1281" s="7" t="str">
        <f t="shared" si="57"/>
        <v>070295000</v>
      </c>
      <c r="D1281" s="7" t="s">
        <v>1559</v>
      </c>
      <c r="E1281" s="7">
        <v>5141</v>
      </c>
      <c r="F1281" s="7" t="str">
        <f>"070295201"</f>
        <v>070295201</v>
      </c>
      <c r="H1281" s="7">
        <v>2172</v>
      </c>
      <c r="I1281" s="11">
        <v>0.24</v>
      </c>
    </row>
    <row r="1282" spans="1:9">
      <c r="A1282" s="7" t="s">
        <v>1548</v>
      </c>
      <c r="B1282" s="7">
        <v>4245</v>
      </c>
      <c r="C1282" s="7" t="str">
        <f t="shared" si="57"/>
        <v>070295000</v>
      </c>
      <c r="D1282" s="7" t="s">
        <v>1560</v>
      </c>
      <c r="E1282" s="7">
        <v>5140</v>
      </c>
      <c r="F1282" s="7" t="str">
        <f>"070295106"</f>
        <v>070295106</v>
      </c>
      <c r="H1282" s="7">
        <v>570</v>
      </c>
      <c r="I1282" s="11">
        <v>0.24</v>
      </c>
    </row>
    <row r="1283" spans="1:9">
      <c r="A1283" s="7" t="s">
        <v>1548</v>
      </c>
      <c r="B1283" s="7">
        <v>4245</v>
      </c>
      <c r="C1283" s="7" t="str">
        <f t="shared" si="57"/>
        <v>070295000</v>
      </c>
      <c r="D1283" s="7" t="s">
        <v>1561</v>
      </c>
      <c r="E1283" s="7">
        <v>1001662</v>
      </c>
      <c r="F1283" s="7" t="str">
        <f>"070295109"</f>
        <v>070295109</v>
      </c>
      <c r="H1283" s="7">
        <v>847</v>
      </c>
      <c r="I1283" s="11">
        <v>0.28000000000000003</v>
      </c>
    </row>
    <row r="1284" spans="1:9">
      <c r="A1284" s="7" t="s">
        <v>1548</v>
      </c>
      <c r="B1284" s="7">
        <v>4245</v>
      </c>
      <c r="C1284" s="7" t="str">
        <f t="shared" si="57"/>
        <v>070295000</v>
      </c>
      <c r="D1284" s="7" t="s">
        <v>1562</v>
      </c>
      <c r="E1284" s="7">
        <v>1000254</v>
      </c>
      <c r="F1284" s="7" t="str">
        <f>"070295108"</f>
        <v>070295108</v>
      </c>
      <c r="H1284" s="7">
        <v>1349</v>
      </c>
      <c r="I1284" s="11">
        <v>0.16</v>
      </c>
    </row>
    <row r="1285" spans="1:9">
      <c r="A1285" s="7" t="s">
        <v>1563</v>
      </c>
      <c r="B1285" s="7">
        <v>79716</v>
      </c>
      <c r="C1285" s="7" t="str">
        <f>"072026000"</f>
        <v>072026000</v>
      </c>
      <c r="D1285" s="7" t="s">
        <v>1564</v>
      </c>
      <c r="E1285" s="7">
        <v>79717</v>
      </c>
      <c r="F1285" s="7" t="str">
        <f>"072026001"</f>
        <v>072026001</v>
      </c>
      <c r="H1285" s="7">
        <v>225</v>
      </c>
      <c r="I1285" s="11">
        <v>0.86</v>
      </c>
    </row>
    <row r="1286" spans="1:9">
      <c r="A1286" s="7" t="s">
        <v>1565</v>
      </c>
      <c r="B1286" s="7">
        <v>4438</v>
      </c>
      <c r="C1286" s="7" t="str">
        <f>"110203000"</f>
        <v>110203000</v>
      </c>
      <c r="D1286" s="7" t="s">
        <v>1566</v>
      </c>
      <c r="E1286" s="7">
        <v>5899</v>
      </c>
      <c r="F1286" s="7" t="str">
        <f>"110203103"</f>
        <v>110203103</v>
      </c>
      <c r="H1286" s="7">
        <v>188</v>
      </c>
      <c r="I1286" s="11">
        <v>0.59</v>
      </c>
    </row>
    <row r="1287" spans="1:9">
      <c r="A1287" s="7" t="s">
        <v>1565</v>
      </c>
      <c r="B1287" s="7">
        <v>4438</v>
      </c>
      <c r="C1287" s="7" t="str">
        <f>"110203000"</f>
        <v>110203000</v>
      </c>
      <c r="D1287" s="7" t="s">
        <v>1567</v>
      </c>
      <c r="E1287" s="7">
        <v>5900</v>
      </c>
      <c r="F1287" s="7" t="str">
        <f>"110203202"</f>
        <v>110203202</v>
      </c>
      <c r="H1287" s="7">
        <v>176</v>
      </c>
      <c r="I1287" s="11">
        <v>0.56000000000000005</v>
      </c>
    </row>
    <row r="1288" spans="1:9" ht="28.5">
      <c r="A1288" s="7" t="s">
        <v>1568</v>
      </c>
      <c r="B1288" s="7">
        <v>4159</v>
      </c>
      <c r="C1288" s="7" t="str">
        <f>"010227000"</f>
        <v>010227000</v>
      </c>
      <c r="D1288" s="7" t="s">
        <v>1569</v>
      </c>
      <c r="E1288" s="7">
        <v>4738</v>
      </c>
      <c r="F1288" s="7" t="str">
        <f>"010227101"</f>
        <v>010227101</v>
      </c>
      <c r="G1288" s="7" t="s">
        <v>16</v>
      </c>
      <c r="H1288" s="7">
        <v>146</v>
      </c>
      <c r="I1288" s="11">
        <v>0.92</v>
      </c>
    </row>
    <row r="1289" spans="1:9" ht="28.5">
      <c r="A1289" s="7" t="s">
        <v>1568</v>
      </c>
      <c r="B1289" s="7">
        <v>4159</v>
      </c>
      <c r="C1289" s="7" t="str">
        <f>"010227000"</f>
        <v>010227000</v>
      </c>
      <c r="D1289" s="7" t="s">
        <v>1570</v>
      </c>
      <c r="E1289" s="7">
        <v>4741</v>
      </c>
      <c r="F1289" s="7" t="str">
        <f>"010227204"</f>
        <v>010227204</v>
      </c>
      <c r="G1289" s="7" t="s">
        <v>16</v>
      </c>
      <c r="H1289" s="7">
        <v>171</v>
      </c>
      <c r="I1289" s="11">
        <v>0.88</v>
      </c>
    </row>
    <row r="1290" spans="1:9" ht="28.5">
      <c r="A1290" s="7" t="s">
        <v>1568</v>
      </c>
      <c r="B1290" s="7">
        <v>4159</v>
      </c>
      <c r="C1290" s="7" t="str">
        <f>"010227000"</f>
        <v>010227000</v>
      </c>
      <c r="D1290" s="7" t="s">
        <v>1571</v>
      </c>
      <c r="E1290" s="7">
        <v>4740</v>
      </c>
      <c r="F1290" s="7" t="str">
        <f>"010227103"</f>
        <v>010227103</v>
      </c>
      <c r="G1290" s="7" t="s">
        <v>16</v>
      </c>
      <c r="H1290" s="7">
        <v>80</v>
      </c>
      <c r="I1290" s="11">
        <v>0.95</v>
      </c>
    </row>
    <row r="1291" spans="1:9" ht="28.5">
      <c r="A1291" s="7" t="s">
        <v>1568</v>
      </c>
      <c r="B1291" s="7">
        <v>4159</v>
      </c>
      <c r="C1291" s="7" t="str">
        <f>"010227000"</f>
        <v>010227000</v>
      </c>
      <c r="D1291" s="7" t="s">
        <v>1572</v>
      </c>
      <c r="E1291" s="7">
        <v>88386</v>
      </c>
      <c r="F1291" s="7" t="str">
        <f>"010227205"</f>
        <v>010227205</v>
      </c>
      <c r="G1291" s="7" t="s">
        <v>16</v>
      </c>
      <c r="H1291" s="7">
        <v>15</v>
      </c>
      <c r="I1291" s="11">
        <v>0.87</v>
      </c>
    </row>
    <row r="1292" spans="1:9" ht="28.5">
      <c r="A1292" s="7" t="s">
        <v>1568</v>
      </c>
      <c r="B1292" s="7">
        <v>4159</v>
      </c>
      <c r="C1292" s="7" t="str">
        <f>"010227000"</f>
        <v>010227000</v>
      </c>
      <c r="D1292" s="7" t="s">
        <v>1573</v>
      </c>
      <c r="E1292" s="7">
        <v>4739</v>
      </c>
      <c r="F1292" s="7" t="str">
        <f>"010227102"</f>
        <v>010227102</v>
      </c>
      <c r="G1292" s="7" t="s">
        <v>16</v>
      </c>
      <c r="H1292" s="7">
        <v>71</v>
      </c>
      <c r="I1292" s="11" t="s">
        <v>17</v>
      </c>
    </row>
    <row r="1293" spans="1:9" ht="28.5">
      <c r="A1293" s="7" t="s">
        <v>1574</v>
      </c>
      <c r="B1293" s="7">
        <v>6568</v>
      </c>
      <c r="C1293" s="7" t="str">
        <f>"014304000"</f>
        <v>014304000</v>
      </c>
      <c r="D1293" s="7" t="s">
        <v>1574</v>
      </c>
      <c r="E1293" s="7">
        <v>6569</v>
      </c>
      <c r="F1293" s="7" t="str">
        <f>"014304001"</f>
        <v>014304001</v>
      </c>
      <c r="G1293" s="7" t="s">
        <v>16</v>
      </c>
      <c r="H1293" s="7">
        <v>113</v>
      </c>
      <c r="I1293" s="11" t="s">
        <v>17</v>
      </c>
    </row>
    <row r="1294" spans="1:9">
      <c r="A1294" s="7" t="s">
        <v>1575</v>
      </c>
      <c r="B1294" s="7">
        <v>4447</v>
      </c>
      <c r="C1294" s="7" t="str">
        <f>"110405000"</f>
        <v>110405000</v>
      </c>
      <c r="D1294" s="7" t="s">
        <v>1576</v>
      </c>
      <c r="E1294" s="7">
        <v>5938</v>
      </c>
      <c r="F1294" s="7" t="str">
        <f>"110405101"</f>
        <v>110405101</v>
      </c>
      <c r="H1294" s="7">
        <v>452</v>
      </c>
      <c r="I1294" s="11">
        <v>0.46</v>
      </c>
    </row>
    <row r="1295" spans="1:9" ht="28.5">
      <c r="A1295" s="7" t="s">
        <v>1577</v>
      </c>
      <c r="B1295" s="7">
        <v>90275</v>
      </c>
      <c r="C1295" s="7" t="str">
        <f>"078560000"</f>
        <v>078560000</v>
      </c>
      <c r="D1295" s="7" t="s">
        <v>1578</v>
      </c>
      <c r="E1295" s="7">
        <v>90276</v>
      </c>
      <c r="F1295" s="7" t="str">
        <f>"078560001"</f>
        <v>078560001</v>
      </c>
      <c r="G1295" s="7" t="s">
        <v>16</v>
      </c>
      <c r="H1295" s="7">
        <v>73</v>
      </c>
      <c r="I1295" s="11">
        <v>0.73</v>
      </c>
    </row>
    <row r="1296" spans="1:9">
      <c r="A1296" s="7" t="s">
        <v>1579</v>
      </c>
      <c r="B1296" s="7">
        <v>4301</v>
      </c>
      <c r="C1296" s="7" t="str">
        <f>"078609000"</f>
        <v>078609000</v>
      </c>
      <c r="D1296" s="7" t="s">
        <v>1580</v>
      </c>
      <c r="E1296" s="7">
        <v>80472</v>
      </c>
      <c r="F1296" s="7" t="str">
        <f>"078528101"</f>
        <v>078528101</v>
      </c>
      <c r="H1296" s="7">
        <v>312</v>
      </c>
      <c r="I1296" s="11">
        <v>0.43</v>
      </c>
    </row>
    <row r="1297" spans="1:9">
      <c r="A1297" s="7" t="s">
        <v>1579</v>
      </c>
      <c r="B1297" s="7">
        <v>4301</v>
      </c>
      <c r="C1297" s="7" t="str">
        <f>"078609000"</f>
        <v>078609000</v>
      </c>
      <c r="D1297" s="7" t="s">
        <v>1579</v>
      </c>
      <c r="E1297" s="7">
        <v>5467</v>
      </c>
      <c r="F1297" s="7" t="str">
        <f>"078609101"</f>
        <v>078609101</v>
      </c>
      <c r="H1297" s="7">
        <v>1038</v>
      </c>
      <c r="I1297" s="11">
        <v>0.19</v>
      </c>
    </row>
    <row r="1298" spans="1:9">
      <c r="A1298" s="7" t="s">
        <v>1581</v>
      </c>
      <c r="B1298" s="7">
        <v>4257</v>
      </c>
      <c r="C1298" s="7" t="str">
        <f>"070402000"</f>
        <v>070402000</v>
      </c>
      <c r="D1298" s="7" t="s">
        <v>1582</v>
      </c>
      <c r="E1298" s="7">
        <v>84660</v>
      </c>
      <c r="F1298" s="7" t="str">
        <f>"070402102"</f>
        <v>070402102</v>
      </c>
      <c r="H1298" s="7">
        <v>368</v>
      </c>
      <c r="I1298" s="11">
        <v>0.87</v>
      </c>
    </row>
    <row r="1299" spans="1:9">
      <c r="A1299" s="7" t="s">
        <v>1581</v>
      </c>
      <c r="B1299" s="7">
        <v>4257</v>
      </c>
      <c r="C1299" s="7" t="str">
        <f>"070402000"</f>
        <v>070402000</v>
      </c>
      <c r="D1299" s="7" t="s">
        <v>1583</v>
      </c>
      <c r="E1299" s="7">
        <v>181823</v>
      </c>
      <c r="F1299" s="7" t="str">
        <f>"078239001"</f>
        <v>078239001</v>
      </c>
      <c r="H1299" s="7">
        <v>405</v>
      </c>
      <c r="I1299" s="11">
        <v>0.74</v>
      </c>
    </row>
    <row r="1300" spans="1:9" ht="28.5">
      <c r="A1300" s="7" t="s">
        <v>1581</v>
      </c>
      <c r="B1300" s="7">
        <v>4257</v>
      </c>
      <c r="C1300" s="7" t="str">
        <f>"070402000"</f>
        <v>070402000</v>
      </c>
      <c r="D1300" s="7" t="s">
        <v>1584</v>
      </c>
      <c r="E1300" s="7">
        <v>92961</v>
      </c>
      <c r="F1300" s="7" t="str">
        <f>"070402103"</f>
        <v>070402103</v>
      </c>
      <c r="H1300" s="7">
        <v>62</v>
      </c>
      <c r="I1300" s="11">
        <v>0.74</v>
      </c>
    </row>
    <row r="1301" spans="1:9">
      <c r="A1301" s="7" t="s">
        <v>1581</v>
      </c>
      <c r="B1301" s="7">
        <v>4257</v>
      </c>
      <c r="C1301" s="7" t="str">
        <f>"070402000"</f>
        <v>070402000</v>
      </c>
      <c r="D1301" s="7" t="s">
        <v>1585</v>
      </c>
      <c r="E1301" s="7">
        <v>5210</v>
      </c>
      <c r="F1301" s="7" t="str">
        <f>"070402101"</f>
        <v>070402101</v>
      </c>
      <c r="H1301" s="7">
        <v>423</v>
      </c>
      <c r="I1301" s="11">
        <v>0.89</v>
      </c>
    </row>
    <row r="1302" spans="1:9" ht="28.5">
      <c r="A1302" s="7" t="s">
        <v>1586</v>
      </c>
      <c r="B1302" s="7">
        <v>80150</v>
      </c>
      <c r="C1302" s="7" t="str">
        <f>"013904000"</f>
        <v>013904000</v>
      </c>
      <c r="D1302" s="7" t="s">
        <v>1586</v>
      </c>
      <c r="E1302" s="7">
        <v>80151</v>
      </c>
      <c r="F1302" s="7" t="str">
        <f>"013904001"</f>
        <v>013904001</v>
      </c>
      <c r="G1302" s="7" t="s">
        <v>16</v>
      </c>
      <c r="H1302" s="7">
        <v>267</v>
      </c>
      <c r="I1302" s="11" t="s">
        <v>17</v>
      </c>
    </row>
    <row r="1303" spans="1:9" ht="28.5">
      <c r="A1303" s="7" t="s">
        <v>1587</v>
      </c>
      <c r="B1303" s="7">
        <v>9692</v>
      </c>
      <c r="C1303" s="7" t="str">
        <f>"094002000"</f>
        <v>094002000</v>
      </c>
      <c r="D1303" s="7" t="s">
        <v>1587</v>
      </c>
      <c r="E1303" s="7">
        <v>80414</v>
      </c>
      <c r="F1303" s="7" t="str">
        <f>"033904006"</f>
        <v>033904006</v>
      </c>
      <c r="G1303" s="7" t="s">
        <v>16</v>
      </c>
      <c r="H1303" s="7">
        <v>63</v>
      </c>
      <c r="I1303" s="11" t="s">
        <v>17</v>
      </c>
    </row>
    <row r="1304" spans="1:9" ht="28.5">
      <c r="A1304" s="7" t="s">
        <v>1588</v>
      </c>
      <c r="B1304" s="7">
        <v>4279</v>
      </c>
      <c r="C1304" s="7" t="str">
        <f t="shared" ref="C1304:C1321" si="58">"070466000"</f>
        <v>070466000</v>
      </c>
      <c r="D1304" s="7" t="s">
        <v>1589</v>
      </c>
      <c r="E1304" s="7">
        <v>87883</v>
      </c>
      <c r="F1304" s="7" t="str">
        <f>"070466024"</f>
        <v>070466024</v>
      </c>
      <c r="G1304" s="7" t="s">
        <v>16</v>
      </c>
      <c r="H1304" s="7">
        <v>650</v>
      </c>
      <c r="I1304" s="11">
        <v>0.91</v>
      </c>
    </row>
    <row r="1305" spans="1:9" ht="28.5">
      <c r="A1305" s="7" t="s">
        <v>1588</v>
      </c>
      <c r="B1305" s="7">
        <v>4279</v>
      </c>
      <c r="C1305" s="7" t="str">
        <f t="shared" si="58"/>
        <v>070466000</v>
      </c>
      <c r="D1305" s="7" t="s">
        <v>1590</v>
      </c>
      <c r="E1305" s="7">
        <v>5368</v>
      </c>
      <c r="F1305" s="7" t="str">
        <f>"070466007"</f>
        <v>070466007</v>
      </c>
      <c r="G1305" s="7" t="s">
        <v>16</v>
      </c>
      <c r="H1305" s="7">
        <v>276</v>
      </c>
      <c r="I1305" s="11">
        <v>0.75</v>
      </c>
    </row>
    <row r="1306" spans="1:9" ht="28.5">
      <c r="A1306" s="7" t="s">
        <v>1588</v>
      </c>
      <c r="B1306" s="7">
        <v>4279</v>
      </c>
      <c r="C1306" s="7" t="str">
        <f t="shared" si="58"/>
        <v>070466000</v>
      </c>
      <c r="D1306" s="7" t="s">
        <v>1591</v>
      </c>
      <c r="E1306" s="7">
        <v>5376</v>
      </c>
      <c r="F1306" s="7" t="str">
        <f>"070466016"</f>
        <v>070466016</v>
      </c>
      <c r="G1306" s="7" t="s">
        <v>16</v>
      </c>
      <c r="H1306" s="7">
        <v>477</v>
      </c>
      <c r="I1306" s="11">
        <v>0.79</v>
      </c>
    </row>
    <row r="1307" spans="1:9" ht="28.5">
      <c r="A1307" s="7" t="s">
        <v>1588</v>
      </c>
      <c r="B1307" s="7">
        <v>4279</v>
      </c>
      <c r="C1307" s="7" t="str">
        <f t="shared" si="58"/>
        <v>070466000</v>
      </c>
      <c r="D1307" s="7" t="s">
        <v>1592</v>
      </c>
      <c r="E1307" s="7">
        <v>5363</v>
      </c>
      <c r="F1307" s="7" t="str">
        <f>"070466002"</f>
        <v>070466002</v>
      </c>
      <c r="G1307" s="7" t="s">
        <v>16</v>
      </c>
      <c r="H1307" s="7">
        <v>423</v>
      </c>
      <c r="I1307" s="11">
        <v>0.93</v>
      </c>
    </row>
    <row r="1308" spans="1:9" ht="28.5">
      <c r="A1308" s="7" t="s">
        <v>1588</v>
      </c>
      <c r="B1308" s="7">
        <v>4279</v>
      </c>
      <c r="C1308" s="7" t="str">
        <f t="shared" si="58"/>
        <v>070466000</v>
      </c>
      <c r="D1308" s="7" t="s">
        <v>1593</v>
      </c>
      <c r="E1308" s="7">
        <v>79012</v>
      </c>
      <c r="F1308" s="7" t="str">
        <f>"070466022"</f>
        <v>070466022</v>
      </c>
      <c r="G1308" s="7" t="s">
        <v>16</v>
      </c>
      <c r="H1308" s="7">
        <v>450</v>
      </c>
      <c r="I1308" s="11">
        <v>0.71</v>
      </c>
    </row>
    <row r="1309" spans="1:9" ht="28.5">
      <c r="A1309" s="7" t="s">
        <v>1588</v>
      </c>
      <c r="B1309" s="7">
        <v>4279</v>
      </c>
      <c r="C1309" s="7" t="str">
        <f t="shared" si="58"/>
        <v>070466000</v>
      </c>
      <c r="D1309" s="7" t="s">
        <v>1594</v>
      </c>
      <c r="E1309" s="7">
        <v>79013</v>
      </c>
      <c r="F1309" s="7" t="str">
        <f>"070466021"</f>
        <v>070466021</v>
      </c>
      <c r="G1309" s="7" t="s">
        <v>16</v>
      </c>
      <c r="H1309" s="7">
        <v>524</v>
      </c>
      <c r="I1309" s="11">
        <v>0.78</v>
      </c>
    </row>
    <row r="1310" spans="1:9" ht="28.5">
      <c r="A1310" s="7" t="s">
        <v>1588</v>
      </c>
      <c r="B1310" s="7">
        <v>4279</v>
      </c>
      <c r="C1310" s="7" t="str">
        <f t="shared" si="58"/>
        <v>070466000</v>
      </c>
      <c r="D1310" s="7" t="s">
        <v>1595</v>
      </c>
      <c r="E1310" s="7">
        <v>5377</v>
      </c>
      <c r="F1310" s="7" t="str">
        <f>"070466017"</f>
        <v>070466017</v>
      </c>
      <c r="G1310" s="7" t="s">
        <v>16</v>
      </c>
      <c r="H1310" s="7">
        <v>363</v>
      </c>
      <c r="I1310" s="11">
        <v>0.91</v>
      </c>
    </row>
    <row r="1311" spans="1:9" ht="28.5">
      <c r="A1311" s="7" t="s">
        <v>1588</v>
      </c>
      <c r="B1311" s="7">
        <v>4279</v>
      </c>
      <c r="C1311" s="7" t="str">
        <f t="shared" si="58"/>
        <v>070466000</v>
      </c>
      <c r="D1311" s="7" t="s">
        <v>1596</v>
      </c>
      <c r="E1311" s="7">
        <v>5370</v>
      </c>
      <c r="F1311" s="7" t="str">
        <f>"070466009"</f>
        <v>070466009</v>
      </c>
      <c r="G1311" s="7" t="s">
        <v>16</v>
      </c>
      <c r="H1311" s="7">
        <v>489</v>
      </c>
      <c r="I1311" s="11">
        <v>0.83</v>
      </c>
    </row>
    <row r="1312" spans="1:9" ht="28.5">
      <c r="A1312" s="7" t="s">
        <v>1588</v>
      </c>
      <c r="B1312" s="7">
        <v>4279</v>
      </c>
      <c r="C1312" s="7" t="str">
        <f t="shared" si="58"/>
        <v>070466000</v>
      </c>
      <c r="D1312" s="7" t="s">
        <v>1597</v>
      </c>
      <c r="E1312" s="7">
        <v>5374</v>
      </c>
      <c r="F1312" s="7" t="str">
        <f>"070466014"</f>
        <v>070466014</v>
      </c>
      <c r="G1312" s="7" t="s">
        <v>16</v>
      </c>
      <c r="H1312" s="7">
        <v>369</v>
      </c>
      <c r="I1312" s="11">
        <v>0.9</v>
      </c>
    </row>
    <row r="1313" spans="1:9" ht="28.5">
      <c r="A1313" s="7" t="s">
        <v>1588</v>
      </c>
      <c r="B1313" s="7">
        <v>4279</v>
      </c>
      <c r="C1313" s="7" t="str">
        <f t="shared" si="58"/>
        <v>070466000</v>
      </c>
      <c r="D1313" s="7" t="s">
        <v>1598</v>
      </c>
      <c r="E1313" s="7">
        <v>5378</v>
      </c>
      <c r="F1313" s="7" t="str">
        <f>"070466018"</f>
        <v>070466018</v>
      </c>
      <c r="G1313" s="7" t="s">
        <v>16</v>
      </c>
      <c r="H1313" s="7">
        <v>363</v>
      </c>
      <c r="I1313" s="11">
        <v>0.96</v>
      </c>
    </row>
    <row r="1314" spans="1:9" ht="28.5">
      <c r="A1314" s="7" t="s">
        <v>1588</v>
      </c>
      <c r="B1314" s="7">
        <v>4279</v>
      </c>
      <c r="C1314" s="7" t="str">
        <f t="shared" si="58"/>
        <v>070466000</v>
      </c>
      <c r="D1314" s="7" t="s">
        <v>1599</v>
      </c>
      <c r="E1314" s="7">
        <v>5371</v>
      </c>
      <c r="F1314" s="7" t="str">
        <f>"070466011"</f>
        <v>070466011</v>
      </c>
      <c r="G1314" s="7" t="s">
        <v>16</v>
      </c>
      <c r="H1314" s="7">
        <v>248</v>
      </c>
      <c r="I1314" s="11" t="s">
        <v>17</v>
      </c>
    </row>
    <row r="1315" spans="1:9" ht="28.5">
      <c r="A1315" s="7" t="s">
        <v>1588</v>
      </c>
      <c r="B1315" s="7">
        <v>4279</v>
      </c>
      <c r="C1315" s="7" t="str">
        <f t="shared" si="58"/>
        <v>070466000</v>
      </c>
      <c r="D1315" s="7" t="s">
        <v>1600</v>
      </c>
      <c r="E1315" s="7">
        <v>5379</v>
      </c>
      <c r="F1315" s="7" t="str">
        <f>"070466019"</f>
        <v>070466019</v>
      </c>
      <c r="G1315" s="7" t="s">
        <v>16</v>
      </c>
      <c r="H1315" s="7">
        <v>286</v>
      </c>
      <c r="I1315" s="11">
        <v>0.84</v>
      </c>
    </row>
    <row r="1316" spans="1:9" ht="28.5">
      <c r="A1316" s="7" t="s">
        <v>1588</v>
      </c>
      <c r="B1316" s="7">
        <v>4279</v>
      </c>
      <c r="C1316" s="7" t="str">
        <f t="shared" si="58"/>
        <v>070466000</v>
      </c>
      <c r="D1316" s="7" t="s">
        <v>1601</v>
      </c>
      <c r="E1316" s="7">
        <v>5364</v>
      </c>
      <c r="F1316" s="7" t="str">
        <f>"070466003"</f>
        <v>070466003</v>
      </c>
      <c r="G1316" s="7" t="s">
        <v>16</v>
      </c>
      <c r="H1316" s="7">
        <v>254</v>
      </c>
      <c r="I1316" s="11">
        <v>0.92</v>
      </c>
    </row>
    <row r="1317" spans="1:9" ht="28.5">
      <c r="A1317" s="7" t="s">
        <v>1588</v>
      </c>
      <c r="B1317" s="7">
        <v>4279</v>
      </c>
      <c r="C1317" s="7" t="str">
        <f t="shared" si="58"/>
        <v>070466000</v>
      </c>
      <c r="D1317" s="7" t="s">
        <v>1602</v>
      </c>
      <c r="E1317" s="7">
        <v>5380</v>
      </c>
      <c r="F1317" s="7" t="str">
        <f>"070466020"</f>
        <v>070466020</v>
      </c>
      <c r="G1317" s="7" t="s">
        <v>16</v>
      </c>
      <c r="H1317" s="7">
        <v>516</v>
      </c>
      <c r="I1317" s="11">
        <v>0.84</v>
      </c>
    </row>
    <row r="1318" spans="1:9" ht="28.5">
      <c r="A1318" s="7" t="s">
        <v>1588</v>
      </c>
      <c r="B1318" s="7">
        <v>4279</v>
      </c>
      <c r="C1318" s="7" t="str">
        <f t="shared" si="58"/>
        <v>070466000</v>
      </c>
      <c r="D1318" s="7" t="s">
        <v>1603</v>
      </c>
      <c r="E1318" s="7">
        <v>5365</v>
      </c>
      <c r="F1318" s="7" t="str">
        <f>"070466004"</f>
        <v>070466004</v>
      </c>
      <c r="G1318" s="7" t="s">
        <v>16</v>
      </c>
      <c r="H1318" s="7">
        <v>549</v>
      </c>
      <c r="I1318" s="11">
        <v>0.78</v>
      </c>
    </row>
    <row r="1319" spans="1:9" ht="28.5">
      <c r="A1319" s="7" t="s">
        <v>1588</v>
      </c>
      <c r="B1319" s="7">
        <v>4279</v>
      </c>
      <c r="C1319" s="7" t="str">
        <f t="shared" si="58"/>
        <v>070466000</v>
      </c>
      <c r="D1319" s="7" t="s">
        <v>1604</v>
      </c>
      <c r="E1319" s="7">
        <v>5372</v>
      </c>
      <c r="F1319" s="7" t="str">
        <f>"070466012"</f>
        <v>070466012</v>
      </c>
      <c r="G1319" s="7" t="s">
        <v>16</v>
      </c>
      <c r="H1319" s="7">
        <v>396</v>
      </c>
      <c r="I1319" s="11">
        <v>0.87</v>
      </c>
    </row>
    <row r="1320" spans="1:9" ht="28.5">
      <c r="A1320" s="7" t="s">
        <v>1588</v>
      </c>
      <c r="B1320" s="7">
        <v>4279</v>
      </c>
      <c r="C1320" s="7" t="str">
        <f t="shared" si="58"/>
        <v>070466000</v>
      </c>
      <c r="D1320" s="7" t="s">
        <v>1605</v>
      </c>
      <c r="E1320" s="7">
        <v>5373</v>
      </c>
      <c r="F1320" s="7" t="str">
        <f>"070466013"</f>
        <v>070466013</v>
      </c>
      <c r="G1320" s="7" t="s">
        <v>16</v>
      </c>
      <c r="H1320" s="7">
        <v>283</v>
      </c>
      <c r="I1320" s="11">
        <v>0.78</v>
      </c>
    </row>
    <row r="1321" spans="1:9" ht="28.5">
      <c r="A1321" s="7" t="s">
        <v>1588</v>
      </c>
      <c r="B1321" s="7">
        <v>4279</v>
      </c>
      <c r="C1321" s="7" t="str">
        <f t="shared" si="58"/>
        <v>070466000</v>
      </c>
      <c r="D1321" s="7" t="s">
        <v>1606</v>
      </c>
      <c r="E1321" s="7">
        <v>5367</v>
      </c>
      <c r="F1321" s="7" t="str">
        <f>"070466006"</f>
        <v>070466006</v>
      </c>
      <c r="G1321" s="7" t="s">
        <v>16</v>
      </c>
      <c r="H1321" s="7">
        <v>536</v>
      </c>
      <c r="I1321" s="11">
        <v>0.71</v>
      </c>
    </row>
    <row r="1322" spans="1:9">
      <c r="A1322" s="7" t="s">
        <v>1607</v>
      </c>
      <c r="B1322" s="7">
        <v>87399</v>
      </c>
      <c r="C1322" s="7" t="str">
        <f>"078508000"</f>
        <v>078508000</v>
      </c>
      <c r="D1322" s="7" t="s">
        <v>1608</v>
      </c>
      <c r="E1322" s="7">
        <v>87400</v>
      </c>
      <c r="F1322" s="7" t="str">
        <f>"078508101"</f>
        <v>078508101</v>
      </c>
      <c r="H1322" s="7">
        <v>537</v>
      </c>
      <c r="I1322" s="11">
        <v>0.46</v>
      </c>
    </row>
    <row r="1323" spans="1:9" ht="28.5">
      <c r="A1323" s="7" t="s">
        <v>1609</v>
      </c>
      <c r="B1323" s="7">
        <v>8477</v>
      </c>
      <c r="C1323" s="7" t="str">
        <f>"014001000"</f>
        <v>014001000</v>
      </c>
      <c r="D1323" s="7" t="s">
        <v>1610</v>
      </c>
      <c r="E1323" s="7">
        <v>87916</v>
      </c>
      <c r="F1323" s="7" t="str">
        <f>"014001203"</f>
        <v>014001203</v>
      </c>
      <c r="G1323" s="7" t="s">
        <v>16</v>
      </c>
      <c r="H1323" s="7">
        <v>125</v>
      </c>
      <c r="I1323" s="11" t="s">
        <v>17</v>
      </c>
    </row>
    <row r="1324" spans="1:9" ht="28.5">
      <c r="A1324" s="7" t="s">
        <v>1609</v>
      </c>
      <c r="B1324" s="7">
        <v>8477</v>
      </c>
      <c r="C1324" s="7" t="str">
        <f>"014001000"</f>
        <v>014001000</v>
      </c>
      <c r="D1324" s="7" t="s">
        <v>1611</v>
      </c>
      <c r="E1324" s="7">
        <v>78994</v>
      </c>
      <c r="F1324" s="7" t="str">
        <f>"014001201"</f>
        <v>014001201</v>
      </c>
      <c r="G1324" s="7" t="s">
        <v>16</v>
      </c>
      <c r="H1324" s="7">
        <v>55</v>
      </c>
      <c r="I1324" s="11">
        <v>0.9</v>
      </c>
    </row>
    <row r="1325" spans="1:9">
      <c r="A1325" s="7" t="s">
        <v>1612</v>
      </c>
      <c r="B1325" s="7">
        <v>4155</v>
      </c>
      <c r="C1325" s="7" t="str">
        <f>"010210000"</f>
        <v>010210000</v>
      </c>
      <c r="D1325" s="7" t="s">
        <v>1613</v>
      </c>
      <c r="E1325" s="7">
        <v>4719</v>
      </c>
      <c r="F1325" s="7" t="str">
        <f>"010210102"</f>
        <v>010210102</v>
      </c>
      <c r="H1325" s="7">
        <v>463</v>
      </c>
      <c r="I1325" s="11">
        <v>0.56999999999999995</v>
      </c>
    </row>
    <row r="1326" spans="1:9">
      <c r="A1326" s="7" t="s">
        <v>1612</v>
      </c>
      <c r="B1326" s="7">
        <v>4155</v>
      </c>
      <c r="C1326" s="7" t="str">
        <f>"010210000"</f>
        <v>010210000</v>
      </c>
      <c r="D1326" s="7" t="s">
        <v>1614</v>
      </c>
      <c r="E1326" s="7">
        <v>4721</v>
      </c>
      <c r="F1326" s="7" t="str">
        <f>"010210210"</f>
        <v>010210210</v>
      </c>
      <c r="H1326" s="7">
        <v>483</v>
      </c>
      <c r="I1326" s="11">
        <v>0.3</v>
      </c>
    </row>
    <row r="1327" spans="1:9">
      <c r="A1327" s="7" t="s">
        <v>1612</v>
      </c>
      <c r="B1327" s="7">
        <v>4155</v>
      </c>
      <c r="C1327" s="7" t="str">
        <f>"010210000"</f>
        <v>010210000</v>
      </c>
      <c r="D1327" s="7" t="s">
        <v>1615</v>
      </c>
      <c r="E1327" s="7">
        <v>4720</v>
      </c>
      <c r="F1327" s="7" t="str">
        <f>"010210103"</f>
        <v>010210103</v>
      </c>
      <c r="H1327" s="7">
        <v>356</v>
      </c>
      <c r="I1327" s="11">
        <v>0.44</v>
      </c>
    </row>
    <row r="1328" spans="1:9" ht="28.5">
      <c r="A1328" s="7" t="s">
        <v>1616</v>
      </c>
      <c r="B1328" s="7">
        <v>4449</v>
      </c>
      <c r="C1328" s="7" t="str">
        <f>"110418000"</f>
        <v>110418000</v>
      </c>
      <c r="D1328" s="7" t="s">
        <v>1617</v>
      </c>
      <c r="E1328" s="7">
        <v>5943</v>
      </c>
      <c r="F1328" s="7" t="str">
        <f>"110418001"</f>
        <v>110418001</v>
      </c>
      <c r="G1328" s="7" t="s">
        <v>16</v>
      </c>
      <c r="H1328" s="7">
        <v>340</v>
      </c>
      <c r="I1328" s="11" t="s">
        <v>17</v>
      </c>
    </row>
    <row r="1329" spans="1:9" ht="28.5">
      <c r="A1329" s="7" t="s">
        <v>1616</v>
      </c>
      <c r="B1329" s="7">
        <v>4449</v>
      </c>
      <c r="C1329" s="7" t="str">
        <f>"110418000"</f>
        <v>110418000</v>
      </c>
      <c r="D1329" s="7" t="s">
        <v>1618</v>
      </c>
      <c r="E1329" s="7">
        <v>5944</v>
      </c>
      <c r="F1329" s="7" t="str">
        <f>"110418002"</f>
        <v>110418002</v>
      </c>
      <c r="G1329" s="7" t="s">
        <v>16</v>
      </c>
      <c r="H1329" s="7">
        <v>241</v>
      </c>
      <c r="I1329" s="11" t="s">
        <v>17</v>
      </c>
    </row>
    <row r="1330" spans="1:9">
      <c r="A1330" s="7" t="s">
        <v>1619</v>
      </c>
      <c r="B1330" s="7">
        <v>80467</v>
      </c>
      <c r="C1330" s="7" t="str">
        <f>"122002000"</f>
        <v>122002000</v>
      </c>
      <c r="D1330" s="7" t="s">
        <v>1619</v>
      </c>
      <c r="E1330" s="7">
        <v>80468</v>
      </c>
      <c r="F1330" s="7" t="str">
        <f>"122002001"</f>
        <v>122002001</v>
      </c>
      <c r="H1330" s="7">
        <v>231</v>
      </c>
      <c r="I1330" s="11" t="s">
        <v>17</v>
      </c>
    </row>
    <row r="1331" spans="1:9">
      <c r="A1331" s="7" t="s">
        <v>1620</v>
      </c>
      <c r="B1331" s="7">
        <v>4254</v>
      </c>
      <c r="C1331" s="7" t="str">
        <f>"070290000"</f>
        <v>070290000</v>
      </c>
      <c r="D1331" s="7" t="s">
        <v>1621</v>
      </c>
      <c r="E1331" s="7">
        <v>1001883</v>
      </c>
      <c r="F1331" s="7" t="str">
        <f>"070290103"</f>
        <v>070290103</v>
      </c>
      <c r="H1331" s="7">
        <v>674</v>
      </c>
      <c r="I1331" s="11">
        <v>0.68</v>
      </c>
    </row>
    <row r="1332" spans="1:9">
      <c r="A1332" s="7" t="s">
        <v>1620</v>
      </c>
      <c r="B1332" s="7">
        <v>4254</v>
      </c>
      <c r="C1332" s="7" t="str">
        <f>"070290000"</f>
        <v>070290000</v>
      </c>
      <c r="D1332" s="7" t="s">
        <v>1622</v>
      </c>
      <c r="E1332" s="7">
        <v>5192</v>
      </c>
      <c r="F1332" s="7" t="str">
        <f>"070290101"</f>
        <v>070290101</v>
      </c>
      <c r="H1332" s="7">
        <v>751</v>
      </c>
      <c r="I1332" s="11">
        <v>0.77</v>
      </c>
    </row>
    <row r="1333" spans="1:9">
      <c r="A1333" s="7" t="s">
        <v>1620</v>
      </c>
      <c r="B1333" s="7">
        <v>4254</v>
      </c>
      <c r="C1333" s="7" t="str">
        <f>"070290000"</f>
        <v>070290000</v>
      </c>
      <c r="D1333" s="7" t="s">
        <v>1623</v>
      </c>
      <c r="E1333" s="7">
        <v>89596</v>
      </c>
      <c r="F1333" s="7" t="str">
        <f>"070290102"</f>
        <v>070290102</v>
      </c>
      <c r="H1333" s="7">
        <v>382</v>
      </c>
      <c r="I1333" s="11">
        <v>0.61</v>
      </c>
    </row>
    <row r="1334" spans="1:9">
      <c r="A1334" s="7" t="s">
        <v>1620</v>
      </c>
      <c r="B1334" s="7">
        <v>4254</v>
      </c>
      <c r="C1334" s="7" t="str">
        <f>"070290000"</f>
        <v>070290000</v>
      </c>
      <c r="D1334" s="7" t="s">
        <v>1624</v>
      </c>
      <c r="E1334" s="7">
        <v>85819</v>
      </c>
      <c r="F1334" s="7" t="str">
        <f>"070290002"</f>
        <v>070290002</v>
      </c>
      <c r="H1334" s="7">
        <v>890</v>
      </c>
      <c r="I1334" s="11">
        <v>0.72</v>
      </c>
    </row>
    <row r="1335" spans="1:9">
      <c r="A1335" s="7" t="s">
        <v>1620</v>
      </c>
      <c r="B1335" s="7">
        <v>4254</v>
      </c>
      <c r="C1335" s="7" t="str">
        <f>"070290000"</f>
        <v>070290000</v>
      </c>
      <c r="D1335" s="7" t="s">
        <v>1625</v>
      </c>
      <c r="E1335" s="7">
        <v>89595</v>
      </c>
      <c r="F1335" s="7" t="str">
        <f>"070290104"</f>
        <v>070290104</v>
      </c>
      <c r="H1335" s="7">
        <v>606</v>
      </c>
      <c r="I1335" s="11">
        <v>0.83</v>
      </c>
    </row>
    <row r="1336" spans="1:9">
      <c r="A1336" s="7" t="s">
        <v>1626</v>
      </c>
      <c r="B1336" s="7">
        <v>4218</v>
      </c>
      <c r="C1336" s="7" t="str">
        <f t="shared" ref="C1336:C1341" si="59">"050201000"</f>
        <v>050201000</v>
      </c>
      <c r="D1336" s="7" t="s">
        <v>1627</v>
      </c>
      <c r="E1336" s="7">
        <v>4881</v>
      </c>
      <c r="F1336" s="7" t="str">
        <f>"050201100"</f>
        <v>050201100</v>
      </c>
      <c r="H1336" s="7">
        <v>570</v>
      </c>
      <c r="I1336" s="11">
        <v>0.66</v>
      </c>
    </row>
    <row r="1337" spans="1:9">
      <c r="A1337" s="7" t="s">
        <v>1626</v>
      </c>
      <c r="B1337" s="7">
        <v>4218</v>
      </c>
      <c r="C1337" s="7" t="str">
        <f t="shared" si="59"/>
        <v>050201000</v>
      </c>
      <c r="D1337" s="7" t="s">
        <v>1628</v>
      </c>
      <c r="E1337" s="7">
        <v>4882</v>
      </c>
      <c r="F1337" s="7" t="str">
        <f>"050201101"</f>
        <v>050201101</v>
      </c>
      <c r="H1337" s="7">
        <v>469</v>
      </c>
      <c r="I1337" s="11">
        <v>0.75</v>
      </c>
    </row>
    <row r="1338" spans="1:9">
      <c r="A1338" s="7" t="s">
        <v>1626</v>
      </c>
      <c r="B1338" s="7">
        <v>4218</v>
      </c>
      <c r="C1338" s="7" t="str">
        <f t="shared" si="59"/>
        <v>050201000</v>
      </c>
      <c r="D1338" s="7" t="s">
        <v>1629</v>
      </c>
      <c r="E1338" s="7">
        <v>4885</v>
      </c>
      <c r="F1338" s="7" t="str">
        <f>"050201201"</f>
        <v>050201201</v>
      </c>
      <c r="H1338" s="7">
        <v>110</v>
      </c>
      <c r="I1338" s="11">
        <v>0.68</v>
      </c>
    </row>
    <row r="1339" spans="1:9">
      <c r="A1339" s="7" t="s">
        <v>1626</v>
      </c>
      <c r="B1339" s="7">
        <v>4218</v>
      </c>
      <c r="C1339" s="7" t="str">
        <f t="shared" si="59"/>
        <v>050201000</v>
      </c>
      <c r="D1339" s="7" t="s">
        <v>1630</v>
      </c>
      <c r="E1339" s="7">
        <v>79780</v>
      </c>
      <c r="F1339" s="7" t="str">
        <f>"050201103"</f>
        <v>050201103</v>
      </c>
      <c r="H1339" s="7">
        <v>536</v>
      </c>
      <c r="I1339" s="11">
        <v>0.59</v>
      </c>
    </row>
    <row r="1340" spans="1:9">
      <c r="A1340" s="7" t="s">
        <v>1626</v>
      </c>
      <c r="B1340" s="7">
        <v>4218</v>
      </c>
      <c r="C1340" s="7" t="str">
        <f t="shared" si="59"/>
        <v>050201000</v>
      </c>
      <c r="D1340" s="7" t="s">
        <v>1631</v>
      </c>
      <c r="E1340" s="7">
        <v>4884</v>
      </c>
      <c r="F1340" s="7" t="str">
        <f>"050201200"</f>
        <v>050201200</v>
      </c>
      <c r="H1340" s="7">
        <v>876</v>
      </c>
      <c r="I1340" s="11">
        <v>0.5</v>
      </c>
    </row>
    <row r="1341" spans="1:9">
      <c r="A1341" s="7" t="s">
        <v>1626</v>
      </c>
      <c r="B1341" s="7">
        <v>4218</v>
      </c>
      <c r="C1341" s="7" t="str">
        <f t="shared" si="59"/>
        <v>050201000</v>
      </c>
      <c r="D1341" s="7" t="s">
        <v>1632</v>
      </c>
      <c r="E1341" s="7">
        <v>4883</v>
      </c>
      <c r="F1341" s="7" t="str">
        <f>"050201102"</f>
        <v>050201102</v>
      </c>
      <c r="H1341" s="7">
        <v>421</v>
      </c>
      <c r="I1341" s="11">
        <v>0.61</v>
      </c>
    </row>
    <row r="1342" spans="1:9" ht="28.5">
      <c r="A1342" s="7" t="s">
        <v>1633</v>
      </c>
      <c r="B1342" s="7">
        <v>89414</v>
      </c>
      <c r="C1342" s="7" t="str">
        <f>"078688000"</f>
        <v>078688000</v>
      </c>
      <c r="D1342" s="7" t="s">
        <v>1634</v>
      </c>
      <c r="E1342" s="7">
        <v>89415</v>
      </c>
      <c r="F1342" s="7" t="str">
        <f>"078688101"</f>
        <v>078688101</v>
      </c>
      <c r="G1342" s="7" t="s">
        <v>16</v>
      </c>
      <c r="H1342" s="7">
        <v>108</v>
      </c>
      <c r="I1342" s="11" t="s">
        <v>17</v>
      </c>
    </row>
    <row r="1343" spans="1:9">
      <c r="A1343" s="7" t="s">
        <v>1635</v>
      </c>
      <c r="B1343" s="7">
        <v>4411</v>
      </c>
      <c r="C1343" s="7" t="str">
        <f t="shared" ref="C1343:C1351" si="60">"100230000"</f>
        <v>100230000</v>
      </c>
      <c r="D1343" s="7" t="s">
        <v>1636</v>
      </c>
      <c r="E1343" s="7">
        <v>88387</v>
      </c>
      <c r="F1343" s="7" t="str">
        <f>"100230106"</f>
        <v>100230106</v>
      </c>
      <c r="H1343" s="7">
        <v>1349</v>
      </c>
      <c r="I1343" s="11">
        <v>0.34</v>
      </c>
    </row>
    <row r="1344" spans="1:9">
      <c r="A1344" s="7" t="s">
        <v>1635</v>
      </c>
      <c r="B1344" s="7">
        <v>4411</v>
      </c>
      <c r="C1344" s="7" t="str">
        <f t="shared" si="60"/>
        <v>100230000</v>
      </c>
      <c r="D1344" s="7" t="s">
        <v>1637</v>
      </c>
      <c r="E1344" s="7">
        <v>91338</v>
      </c>
      <c r="F1344" s="7" t="str">
        <f>"100230104"</f>
        <v>100230104</v>
      </c>
      <c r="H1344" s="7">
        <v>705</v>
      </c>
      <c r="I1344" s="11">
        <v>0.33</v>
      </c>
    </row>
    <row r="1345" spans="1:9">
      <c r="A1345" s="7" t="s">
        <v>1635</v>
      </c>
      <c r="B1345" s="7">
        <v>4411</v>
      </c>
      <c r="C1345" s="7" t="str">
        <f t="shared" si="60"/>
        <v>100230000</v>
      </c>
      <c r="D1345" s="7" t="s">
        <v>1638</v>
      </c>
      <c r="E1345" s="7">
        <v>5843</v>
      </c>
      <c r="F1345" s="7" t="str">
        <f>"100230204"</f>
        <v>100230204</v>
      </c>
      <c r="H1345" s="7">
        <v>1303</v>
      </c>
      <c r="I1345" s="11">
        <v>0.4</v>
      </c>
    </row>
    <row r="1346" spans="1:9">
      <c r="A1346" s="7" t="s">
        <v>1635</v>
      </c>
      <c r="B1346" s="7">
        <v>4411</v>
      </c>
      <c r="C1346" s="7" t="str">
        <f t="shared" si="60"/>
        <v>100230000</v>
      </c>
      <c r="D1346" s="7" t="s">
        <v>1639</v>
      </c>
      <c r="E1346" s="7">
        <v>79014</v>
      </c>
      <c r="F1346" s="7" t="str">
        <f>"100230105"</f>
        <v>100230105</v>
      </c>
      <c r="H1346" s="7">
        <v>396</v>
      </c>
      <c r="I1346" s="11">
        <v>0.34</v>
      </c>
    </row>
    <row r="1347" spans="1:9">
      <c r="A1347" s="7" t="s">
        <v>1635</v>
      </c>
      <c r="B1347" s="7">
        <v>4411</v>
      </c>
      <c r="C1347" s="7" t="str">
        <f t="shared" si="60"/>
        <v>100230000</v>
      </c>
      <c r="D1347" s="7" t="s">
        <v>1640</v>
      </c>
      <c r="E1347" s="7">
        <v>5842</v>
      </c>
      <c r="F1347" s="7" t="str">
        <f>"100230103"</f>
        <v>100230103</v>
      </c>
      <c r="H1347" s="7">
        <v>548</v>
      </c>
      <c r="I1347" s="11">
        <v>0.42</v>
      </c>
    </row>
    <row r="1348" spans="1:9">
      <c r="A1348" s="7" t="s">
        <v>1635</v>
      </c>
      <c r="B1348" s="7">
        <v>4411</v>
      </c>
      <c r="C1348" s="7" t="str">
        <f t="shared" si="60"/>
        <v>100230000</v>
      </c>
      <c r="D1348" s="7" t="s">
        <v>1641</v>
      </c>
      <c r="E1348" s="7">
        <v>5840</v>
      </c>
      <c r="F1348" s="7" t="str">
        <f>"100230101"</f>
        <v>100230101</v>
      </c>
      <c r="H1348" s="7">
        <v>389</v>
      </c>
      <c r="I1348" s="11">
        <v>0.36</v>
      </c>
    </row>
    <row r="1349" spans="1:9">
      <c r="A1349" s="7" t="s">
        <v>1635</v>
      </c>
      <c r="B1349" s="7">
        <v>4411</v>
      </c>
      <c r="C1349" s="7" t="str">
        <f t="shared" si="60"/>
        <v>100230000</v>
      </c>
      <c r="D1349" s="7" t="s">
        <v>1642</v>
      </c>
      <c r="E1349" s="7">
        <v>5841</v>
      </c>
      <c r="F1349" s="7" t="str">
        <f>"100230102"</f>
        <v>100230102</v>
      </c>
      <c r="H1349" s="7">
        <v>121</v>
      </c>
      <c r="I1349" s="11">
        <v>0.72</v>
      </c>
    </row>
    <row r="1350" spans="1:9">
      <c r="A1350" s="7" t="s">
        <v>1635</v>
      </c>
      <c r="B1350" s="7">
        <v>4411</v>
      </c>
      <c r="C1350" s="7" t="str">
        <f t="shared" si="60"/>
        <v>100230000</v>
      </c>
      <c r="D1350" s="7" t="s">
        <v>1643</v>
      </c>
      <c r="E1350" s="7">
        <v>90824</v>
      </c>
      <c r="F1350" s="7" t="str">
        <f>"100230205"</f>
        <v>100230205</v>
      </c>
      <c r="H1350" s="7">
        <v>1256</v>
      </c>
      <c r="I1350" s="11">
        <v>0.28999999999999998</v>
      </c>
    </row>
    <row r="1351" spans="1:9">
      <c r="A1351" s="7" t="s">
        <v>1635</v>
      </c>
      <c r="B1351" s="7">
        <v>4411</v>
      </c>
      <c r="C1351" s="7" t="str">
        <f t="shared" si="60"/>
        <v>100230000</v>
      </c>
      <c r="D1351" s="7" t="s">
        <v>1644</v>
      </c>
      <c r="E1351" s="7">
        <v>948236</v>
      </c>
      <c r="F1351" s="7" t="str">
        <f>"100230108"</f>
        <v>100230108</v>
      </c>
      <c r="H1351" s="7">
        <v>904</v>
      </c>
      <c r="I1351" s="11">
        <v>0.48</v>
      </c>
    </row>
    <row r="1352" spans="1:9">
      <c r="A1352" s="7" t="s">
        <v>1645</v>
      </c>
      <c r="B1352" s="7">
        <v>1001179</v>
      </c>
      <c r="C1352" s="7" t="str">
        <f>"102043000"</f>
        <v>102043000</v>
      </c>
      <c r="D1352" s="7" t="s">
        <v>1646</v>
      </c>
      <c r="E1352" s="7">
        <v>90003</v>
      </c>
      <c r="F1352" s="7" t="str">
        <f>"102043002"</f>
        <v>102043002</v>
      </c>
      <c r="H1352" s="7">
        <v>235</v>
      </c>
      <c r="I1352" s="11">
        <v>0.72</v>
      </c>
    </row>
    <row r="1353" spans="1:9">
      <c r="A1353" s="7" t="s">
        <v>1647</v>
      </c>
      <c r="B1353" s="7">
        <v>4514</v>
      </c>
      <c r="C1353" s="7" t="str">
        <f>"150430000"</f>
        <v>150430000</v>
      </c>
      <c r="D1353" s="7" t="s">
        <v>1648</v>
      </c>
      <c r="E1353" s="7">
        <v>6202</v>
      </c>
      <c r="F1353" s="7" t="str">
        <f>"150430101"</f>
        <v>150430101</v>
      </c>
      <c r="H1353" s="7">
        <v>110</v>
      </c>
      <c r="I1353" s="11">
        <v>0.85</v>
      </c>
    </row>
    <row r="1354" spans="1:9" ht="28.5">
      <c r="A1354" s="7" t="s">
        <v>1649</v>
      </c>
      <c r="B1354" s="7">
        <v>4320</v>
      </c>
      <c r="C1354" s="7" t="str">
        <f>"078656000"</f>
        <v>078656000</v>
      </c>
      <c r="D1354" s="7" t="s">
        <v>1650</v>
      </c>
      <c r="E1354" s="7">
        <v>81172</v>
      </c>
      <c r="F1354" s="7" t="str">
        <f>"093906014"</f>
        <v>093906014</v>
      </c>
      <c r="G1354" s="7" t="s">
        <v>16</v>
      </c>
      <c r="H1354" s="7">
        <v>197</v>
      </c>
      <c r="I1354" s="11" t="s">
        <v>17</v>
      </c>
    </row>
    <row r="1355" spans="1:9" ht="28.5">
      <c r="A1355" s="7" t="s">
        <v>1649</v>
      </c>
      <c r="B1355" s="7">
        <v>4320</v>
      </c>
      <c r="C1355" s="7" t="str">
        <f>"078656000"</f>
        <v>078656000</v>
      </c>
      <c r="D1355" s="7" t="s">
        <v>1651</v>
      </c>
      <c r="E1355" s="7">
        <v>90159</v>
      </c>
      <c r="F1355" s="7" t="str">
        <f>"078656002"</f>
        <v>078656002</v>
      </c>
      <c r="G1355" s="7" t="s">
        <v>16</v>
      </c>
      <c r="H1355" s="7">
        <v>51</v>
      </c>
      <c r="I1355" s="11">
        <v>0.49</v>
      </c>
    </row>
    <row r="1356" spans="1:9" ht="28.5">
      <c r="A1356" s="7" t="s">
        <v>1649</v>
      </c>
      <c r="B1356" s="7">
        <v>4320</v>
      </c>
      <c r="C1356" s="7" t="str">
        <f>"078656000"</f>
        <v>078656000</v>
      </c>
      <c r="D1356" s="7" t="s">
        <v>1652</v>
      </c>
      <c r="E1356" s="7">
        <v>81170</v>
      </c>
      <c r="F1356" s="7" t="str">
        <f>"093906013"</f>
        <v>093906013</v>
      </c>
      <c r="G1356" s="7" t="s">
        <v>16</v>
      </c>
      <c r="H1356" s="7">
        <v>238</v>
      </c>
      <c r="I1356" s="11" t="s">
        <v>17</v>
      </c>
    </row>
    <row r="1357" spans="1:9" ht="28.5">
      <c r="A1357" s="7" t="s">
        <v>1653</v>
      </c>
      <c r="B1357" s="7">
        <v>4210</v>
      </c>
      <c r="C1357" s="7" t="str">
        <f>"040220000"</f>
        <v>040220000</v>
      </c>
      <c r="D1357" s="7" t="s">
        <v>1654</v>
      </c>
      <c r="E1357" s="7">
        <v>5989</v>
      </c>
      <c r="F1357" s="7" t="str">
        <f>"040220104"</f>
        <v>040220104</v>
      </c>
      <c r="G1357" s="7" t="s">
        <v>16</v>
      </c>
      <c r="H1357" s="7">
        <v>651</v>
      </c>
      <c r="I1357" s="11" t="s">
        <v>17</v>
      </c>
    </row>
    <row r="1358" spans="1:9" ht="28.5">
      <c r="A1358" s="7" t="s">
        <v>1653</v>
      </c>
      <c r="B1358" s="7">
        <v>4210</v>
      </c>
      <c r="C1358" s="7" t="str">
        <f>"040220000"</f>
        <v>040220000</v>
      </c>
      <c r="D1358" s="7" t="s">
        <v>1655</v>
      </c>
      <c r="E1358" s="7">
        <v>89776</v>
      </c>
      <c r="F1358" s="7" t="str">
        <f>"040220203"</f>
        <v>040220203</v>
      </c>
      <c r="G1358" s="7" t="s">
        <v>16</v>
      </c>
      <c r="H1358" s="7">
        <v>28</v>
      </c>
      <c r="I1358" s="11" t="s">
        <v>17</v>
      </c>
    </row>
    <row r="1359" spans="1:9" ht="28.5">
      <c r="A1359" s="7" t="s">
        <v>1653</v>
      </c>
      <c r="B1359" s="7">
        <v>4210</v>
      </c>
      <c r="C1359" s="7" t="str">
        <f>"040220000"</f>
        <v>040220000</v>
      </c>
      <c r="D1359" s="7" t="s">
        <v>1656</v>
      </c>
      <c r="E1359" s="7">
        <v>4863</v>
      </c>
      <c r="F1359" s="7" t="str">
        <f>"040220103"</f>
        <v>040220103</v>
      </c>
      <c r="G1359" s="7" t="s">
        <v>16</v>
      </c>
      <c r="H1359" s="7">
        <v>427</v>
      </c>
      <c r="I1359" s="11" t="s">
        <v>17</v>
      </c>
    </row>
    <row r="1360" spans="1:9" ht="28.5">
      <c r="A1360" s="7" t="s">
        <v>1653</v>
      </c>
      <c r="B1360" s="7">
        <v>4210</v>
      </c>
      <c r="C1360" s="7" t="str">
        <f>"040220000"</f>
        <v>040220000</v>
      </c>
      <c r="D1360" s="7" t="s">
        <v>1657</v>
      </c>
      <c r="E1360" s="7">
        <v>1000382</v>
      </c>
      <c r="F1360" s="7" t="str">
        <f>"040220102"</f>
        <v>040220102</v>
      </c>
      <c r="G1360" s="7" t="s">
        <v>16</v>
      </c>
      <c r="H1360" s="7">
        <v>311</v>
      </c>
      <c r="I1360" s="11" t="s">
        <v>17</v>
      </c>
    </row>
    <row r="1361" spans="1:9">
      <c r="A1361" s="7" t="s">
        <v>1658</v>
      </c>
      <c r="B1361" s="7">
        <v>85926</v>
      </c>
      <c r="C1361" s="7" t="str">
        <f>"101908000"</f>
        <v>101908000</v>
      </c>
      <c r="D1361" s="7" t="s">
        <v>1659</v>
      </c>
      <c r="E1361" s="7">
        <v>85927</v>
      </c>
      <c r="F1361" s="7" t="str">
        <f>"101908001"</f>
        <v>101908001</v>
      </c>
      <c r="G1361" s="7" t="s">
        <v>26</v>
      </c>
      <c r="H1361" s="7">
        <v>293</v>
      </c>
      <c r="I1361" s="11">
        <v>0.4</v>
      </c>
    </row>
    <row r="1362" spans="1:9">
      <c r="A1362" s="7" t="s">
        <v>1660</v>
      </c>
      <c r="B1362" s="7">
        <v>4172</v>
      </c>
      <c r="C1362" s="7" t="str">
        <f>"020218000"</f>
        <v>020218000</v>
      </c>
      <c r="D1362" s="7" t="s">
        <v>1661</v>
      </c>
      <c r="E1362" s="7">
        <v>4760</v>
      </c>
      <c r="F1362" s="7" t="str">
        <f>"020218001"</f>
        <v>020218001</v>
      </c>
      <c r="H1362" s="7">
        <v>96</v>
      </c>
      <c r="I1362" s="11">
        <v>0.77</v>
      </c>
    </row>
    <row r="1363" spans="1:9" ht="28.5">
      <c r="A1363" s="7" t="s">
        <v>1662</v>
      </c>
      <c r="B1363" s="7">
        <v>4156</v>
      </c>
      <c r="C1363" s="7" t="str">
        <f>"010218000"</f>
        <v>010218000</v>
      </c>
      <c r="D1363" s="7" t="s">
        <v>1663</v>
      </c>
      <c r="E1363" s="7">
        <v>4722</v>
      </c>
      <c r="F1363" s="7" t="str">
        <f>"010218001"</f>
        <v>010218001</v>
      </c>
      <c r="G1363" s="7" t="s">
        <v>16</v>
      </c>
      <c r="H1363" s="7">
        <v>300</v>
      </c>
      <c r="I1363" s="11" t="s">
        <v>17</v>
      </c>
    </row>
    <row r="1364" spans="1:9" ht="28.5">
      <c r="A1364" s="7" t="s">
        <v>1662</v>
      </c>
      <c r="B1364" s="7">
        <v>4156</v>
      </c>
      <c r="C1364" s="7" t="str">
        <f>"010218000"</f>
        <v>010218000</v>
      </c>
      <c r="D1364" s="7" t="s">
        <v>1664</v>
      </c>
      <c r="E1364" s="7">
        <v>4723</v>
      </c>
      <c r="F1364" s="7" t="str">
        <f>"010218002"</f>
        <v>010218002</v>
      </c>
      <c r="G1364" s="7" t="s">
        <v>16</v>
      </c>
      <c r="H1364" s="7">
        <v>175</v>
      </c>
      <c r="I1364" s="11" t="s">
        <v>17</v>
      </c>
    </row>
    <row r="1365" spans="1:9" ht="28.5">
      <c r="A1365" s="7" t="s">
        <v>1662</v>
      </c>
      <c r="B1365" s="7">
        <v>4156</v>
      </c>
      <c r="C1365" s="7" t="str">
        <f>"010218000"</f>
        <v>010218000</v>
      </c>
      <c r="D1365" s="7" t="s">
        <v>1665</v>
      </c>
      <c r="E1365" s="7">
        <v>4724</v>
      </c>
      <c r="F1365" s="7" t="str">
        <f>"010218003"</f>
        <v>010218003</v>
      </c>
      <c r="G1365" s="7" t="s">
        <v>16</v>
      </c>
      <c r="H1365" s="7">
        <v>181</v>
      </c>
      <c r="I1365" s="11">
        <v>0.9</v>
      </c>
    </row>
    <row r="1366" spans="1:9">
      <c r="A1366" s="7" t="s">
        <v>1666</v>
      </c>
      <c r="B1366" s="7">
        <v>80156</v>
      </c>
      <c r="C1366" s="7" t="str">
        <f>"102008000"</f>
        <v>102008000</v>
      </c>
      <c r="D1366" s="7" t="s">
        <v>1666</v>
      </c>
      <c r="E1366" s="7">
        <v>80157</v>
      </c>
      <c r="F1366" s="7" t="str">
        <f>"102008001"</f>
        <v>102008001</v>
      </c>
      <c r="H1366" s="7">
        <v>152</v>
      </c>
      <c r="I1366" s="11">
        <v>0.72</v>
      </c>
    </row>
    <row r="1367" spans="1:9">
      <c r="A1367" s="7" t="s">
        <v>1667</v>
      </c>
      <c r="B1367" s="7">
        <v>4459</v>
      </c>
      <c r="C1367" s="7" t="str">
        <f>"120328000"</f>
        <v>120328000</v>
      </c>
      <c r="D1367" s="7" t="s">
        <v>1668</v>
      </c>
      <c r="E1367" s="7">
        <v>5967</v>
      </c>
      <c r="F1367" s="7" t="str">
        <f>"120328101"</f>
        <v>120328101</v>
      </c>
      <c r="G1367" s="7" t="s">
        <v>26</v>
      </c>
      <c r="H1367" s="7">
        <v>179</v>
      </c>
      <c r="I1367" s="11">
        <v>0.72</v>
      </c>
    </row>
    <row r="1368" spans="1:9">
      <c r="A1368" s="7" t="s">
        <v>1669</v>
      </c>
      <c r="B1368" s="7">
        <v>4458</v>
      </c>
      <c r="C1368" s="7" t="str">
        <f>"120235000"</f>
        <v>120235000</v>
      </c>
      <c r="D1368" s="7" t="s">
        <v>1670</v>
      </c>
      <c r="E1368" s="7">
        <v>5965</v>
      </c>
      <c r="F1368" s="7" t="str">
        <f>"120235130"</f>
        <v>120235130</v>
      </c>
      <c r="G1368" s="7" t="s">
        <v>26</v>
      </c>
      <c r="H1368" s="7">
        <v>994</v>
      </c>
      <c r="I1368" s="11">
        <v>0.81</v>
      </c>
    </row>
    <row r="1369" spans="1:9">
      <c r="A1369" s="7" t="s">
        <v>1669</v>
      </c>
      <c r="B1369" s="7">
        <v>4458</v>
      </c>
      <c r="C1369" s="7" t="str">
        <f>"120235000"</f>
        <v>120235000</v>
      </c>
      <c r="D1369" s="7" t="s">
        <v>1671</v>
      </c>
      <c r="E1369" s="7">
        <v>89775</v>
      </c>
      <c r="F1369" s="7" t="str">
        <f>"120235140"</f>
        <v>120235140</v>
      </c>
      <c r="G1369" s="7" t="s">
        <v>26</v>
      </c>
      <c r="H1369" s="7">
        <v>446</v>
      </c>
      <c r="I1369" s="11">
        <v>0.69</v>
      </c>
    </row>
    <row r="1370" spans="1:9">
      <c r="A1370" s="7" t="s">
        <v>1669</v>
      </c>
      <c r="B1370" s="7">
        <v>4458</v>
      </c>
      <c r="C1370" s="7" t="str">
        <f>"120235000"</f>
        <v>120235000</v>
      </c>
      <c r="D1370" s="7" t="s">
        <v>1672</v>
      </c>
      <c r="E1370" s="7">
        <v>5964</v>
      </c>
      <c r="F1370" s="7" t="str">
        <f>"120235120"</f>
        <v>120235120</v>
      </c>
      <c r="G1370" s="7" t="s">
        <v>26</v>
      </c>
      <c r="H1370" s="7">
        <v>388</v>
      </c>
      <c r="I1370" s="11">
        <v>0.83</v>
      </c>
    </row>
    <row r="1371" spans="1:9">
      <c r="A1371" s="7" t="s">
        <v>1669</v>
      </c>
      <c r="B1371" s="7">
        <v>4458</v>
      </c>
      <c r="C1371" s="7" t="str">
        <f>"120235000"</f>
        <v>120235000</v>
      </c>
      <c r="D1371" s="7" t="s">
        <v>1673</v>
      </c>
      <c r="E1371" s="7">
        <v>5966</v>
      </c>
      <c r="F1371" s="7" t="str">
        <f>"120235200"</f>
        <v>120235200</v>
      </c>
      <c r="G1371" s="7" t="s">
        <v>26</v>
      </c>
      <c r="H1371" s="7">
        <v>1410</v>
      </c>
      <c r="I1371" s="11">
        <v>0.72</v>
      </c>
    </row>
    <row r="1372" spans="1:9">
      <c r="A1372" s="7" t="s">
        <v>1669</v>
      </c>
      <c r="B1372" s="7">
        <v>4458</v>
      </c>
      <c r="C1372" s="7" t="str">
        <f>"120235000"</f>
        <v>120235000</v>
      </c>
      <c r="D1372" s="7" t="s">
        <v>1674</v>
      </c>
      <c r="E1372" s="7">
        <v>5963</v>
      </c>
      <c r="F1372" s="7" t="str">
        <f>"120235110"</f>
        <v>120235110</v>
      </c>
      <c r="G1372" s="7" t="s">
        <v>26</v>
      </c>
      <c r="H1372" s="7">
        <v>403</v>
      </c>
      <c r="I1372" s="11">
        <v>0.68</v>
      </c>
    </row>
    <row r="1373" spans="1:9">
      <c r="A1373" s="7" t="s">
        <v>1675</v>
      </c>
      <c r="B1373" s="7">
        <v>4454</v>
      </c>
      <c r="C1373" s="7" t="str">
        <f>"110540000"</f>
        <v>110540000</v>
      </c>
      <c r="D1373" s="7" t="s">
        <v>1676</v>
      </c>
      <c r="E1373" s="7">
        <v>90415</v>
      </c>
      <c r="F1373" s="7" t="str">
        <f>"110540002"</f>
        <v>110540002</v>
      </c>
      <c r="H1373" s="7">
        <v>35</v>
      </c>
      <c r="I1373" s="11">
        <v>0.91</v>
      </c>
    </row>
    <row r="1374" spans="1:9" ht="28.5">
      <c r="A1374" s="7" t="s">
        <v>1675</v>
      </c>
      <c r="B1374" s="7">
        <v>4454</v>
      </c>
      <c r="C1374" s="7" t="str">
        <f>"110540000"</f>
        <v>110540000</v>
      </c>
      <c r="D1374" s="7" t="s">
        <v>1677</v>
      </c>
      <c r="E1374" s="7">
        <v>5951</v>
      </c>
      <c r="F1374" s="7" t="str">
        <f>"110540001"</f>
        <v>110540001</v>
      </c>
      <c r="H1374" s="7">
        <v>393</v>
      </c>
      <c r="I1374" s="11">
        <v>0.9</v>
      </c>
    </row>
    <row r="1375" spans="1:9">
      <c r="A1375" s="7" t="s">
        <v>1678</v>
      </c>
      <c r="B1375" s="7">
        <v>85454</v>
      </c>
      <c r="C1375" s="7" t="str">
        <f>"108719000"</f>
        <v>108719000</v>
      </c>
      <c r="D1375" s="7" t="s">
        <v>1679</v>
      </c>
      <c r="E1375" s="7">
        <v>85455</v>
      </c>
      <c r="F1375" s="7" t="str">
        <f>"108719101"</f>
        <v>108719101</v>
      </c>
      <c r="H1375" s="7">
        <v>149</v>
      </c>
      <c r="I1375" s="11">
        <v>0.33</v>
      </c>
    </row>
    <row r="1376" spans="1:9" ht="28.5">
      <c r="A1376" s="7" t="s">
        <v>1680</v>
      </c>
      <c r="B1376" s="7">
        <v>1000377</v>
      </c>
      <c r="C1376" s="7" t="str">
        <f>"078624000"</f>
        <v>078624000</v>
      </c>
      <c r="D1376" s="7" t="s">
        <v>1680</v>
      </c>
      <c r="E1376" s="7">
        <v>1000380</v>
      </c>
      <c r="F1376" s="7" t="str">
        <f>"078624001"</f>
        <v>078624001</v>
      </c>
      <c r="G1376" s="7" t="s">
        <v>16</v>
      </c>
      <c r="H1376" s="7">
        <v>257</v>
      </c>
      <c r="I1376" s="11" t="s">
        <v>17</v>
      </c>
    </row>
    <row r="1377" spans="1:9" ht="28.5">
      <c r="A1377" s="7" t="s">
        <v>1681</v>
      </c>
      <c r="B1377" s="7">
        <v>1000050</v>
      </c>
      <c r="C1377" s="7" t="str">
        <f>"108514000"</f>
        <v>108514000</v>
      </c>
      <c r="D1377" s="7" t="s">
        <v>1682</v>
      </c>
      <c r="E1377" s="7">
        <v>1000051</v>
      </c>
      <c r="F1377" s="7" t="str">
        <f>"108514101"</f>
        <v>108514101</v>
      </c>
      <c r="G1377" s="7" t="s">
        <v>16</v>
      </c>
      <c r="H1377" s="7">
        <v>220</v>
      </c>
      <c r="I1377" s="11">
        <v>0.85</v>
      </c>
    </row>
    <row r="1378" spans="1:9">
      <c r="A1378" s="7" t="s">
        <v>1683</v>
      </c>
      <c r="B1378" s="7">
        <v>4240</v>
      </c>
      <c r="C1378" s="7" t="str">
        <f t="shared" ref="C1378:C1406" si="61">"070248000"</f>
        <v>070248000</v>
      </c>
      <c r="D1378" s="7" t="s">
        <v>1684</v>
      </c>
      <c r="E1378" s="7">
        <v>6009</v>
      </c>
      <c r="F1378" s="7" t="str">
        <f>"070248128"</f>
        <v>070248128</v>
      </c>
      <c r="H1378" s="7">
        <v>433</v>
      </c>
      <c r="I1378" s="11">
        <v>0.21</v>
      </c>
    </row>
    <row r="1379" spans="1:9">
      <c r="A1379" s="7" t="s">
        <v>1683</v>
      </c>
      <c r="B1379" s="7">
        <v>4240</v>
      </c>
      <c r="C1379" s="7" t="str">
        <f t="shared" si="61"/>
        <v>070248000</v>
      </c>
      <c r="D1379" s="7" t="s">
        <v>1685</v>
      </c>
      <c r="E1379" s="7">
        <v>5066</v>
      </c>
      <c r="F1379" s="7" t="str">
        <f>"070248292"</f>
        <v>070248292</v>
      </c>
      <c r="H1379" s="7">
        <v>1654</v>
      </c>
      <c r="I1379" s="11">
        <v>0.38</v>
      </c>
    </row>
    <row r="1380" spans="1:9">
      <c r="A1380" s="7" t="s">
        <v>1683</v>
      </c>
      <c r="B1380" s="7">
        <v>4240</v>
      </c>
      <c r="C1380" s="7" t="str">
        <f t="shared" si="61"/>
        <v>070248000</v>
      </c>
      <c r="D1380" s="7" t="s">
        <v>1686</v>
      </c>
      <c r="E1380" s="7">
        <v>5069</v>
      </c>
      <c r="F1380" s="7" t="str">
        <f>"070248295"</f>
        <v>070248295</v>
      </c>
      <c r="H1380" s="7">
        <v>1919</v>
      </c>
      <c r="I1380" s="11">
        <v>0.11</v>
      </c>
    </row>
    <row r="1381" spans="1:9">
      <c r="A1381" s="7" t="s">
        <v>1683</v>
      </c>
      <c r="B1381" s="7">
        <v>4240</v>
      </c>
      <c r="C1381" s="7" t="str">
        <f t="shared" si="61"/>
        <v>070248000</v>
      </c>
      <c r="D1381" s="7" t="s">
        <v>1687</v>
      </c>
      <c r="E1381" s="7">
        <v>5054</v>
      </c>
      <c r="F1381" s="7" t="str">
        <f>"070248121"</f>
        <v>070248121</v>
      </c>
      <c r="H1381" s="7">
        <v>700</v>
      </c>
      <c r="I1381" s="11">
        <v>0.09</v>
      </c>
    </row>
    <row r="1382" spans="1:9">
      <c r="A1382" s="7" t="s">
        <v>1683</v>
      </c>
      <c r="B1382" s="7">
        <v>4240</v>
      </c>
      <c r="C1382" s="7" t="str">
        <f t="shared" si="61"/>
        <v>070248000</v>
      </c>
      <c r="D1382" s="7" t="s">
        <v>1688</v>
      </c>
      <c r="E1382" s="7">
        <v>5059</v>
      </c>
      <c r="F1382" s="7" t="str">
        <f>"070248127"</f>
        <v>070248127</v>
      </c>
      <c r="H1382" s="7">
        <v>908</v>
      </c>
      <c r="I1382" s="11">
        <v>0.05</v>
      </c>
    </row>
    <row r="1383" spans="1:9">
      <c r="A1383" s="7" t="s">
        <v>1683</v>
      </c>
      <c r="B1383" s="7">
        <v>4240</v>
      </c>
      <c r="C1383" s="7" t="str">
        <f t="shared" si="61"/>
        <v>070248000</v>
      </c>
      <c r="D1383" s="7" t="s">
        <v>416</v>
      </c>
      <c r="E1383" s="7">
        <v>5043</v>
      </c>
      <c r="F1383" s="7" t="str">
        <f>"070248102"</f>
        <v>070248102</v>
      </c>
      <c r="H1383" s="7">
        <v>658</v>
      </c>
      <c r="I1383" s="11">
        <v>0.08</v>
      </c>
    </row>
    <row r="1384" spans="1:9">
      <c r="A1384" s="7" t="s">
        <v>1683</v>
      </c>
      <c r="B1384" s="7">
        <v>4240</v>
      </c>
      <c r="C1384" s="7" t="str">
        <f t="shared" si="61"/>
        <v>070248000</v>
      </c>
      <c r="D1384" s="7" t="s">
        <v>1689</v>
      </c>
      <c r="E1384" s="7">
        <v>5065</v>
      </c>
      <c r="F1384" s="7" t="str">
        <f>"070248169"</f>
        <v>070248169</v>
      </c>
      <c r="H1384" s="7">
        <v>856</v>
      </c>
      <c r="I1384" s="11">
        <v>0.11</v>
      </c>
    </row>
    <row r="1385" spans="1:9">
      <c r="A1385" s="7" t="s">
        <v>1683</v>
      </c>
      <c r="B1385" s="7">
        <v>4240</v>
      </c>
      <c r="C1385" s="7" t="str">
        <f t="shared" si="61"/>
        <v>070248000</v>
      </c>
      <c r="D1385" s="7" t="s">
        <v>1690</v>
      </c>
      <c r="E1385" s="7">
        <v>79639</v>
      </c>
      <c r="F1385" s="7" t="str">
        <f>"070248130"</f>
        <v>070248130</v>
      </c>
      <c r="H1385" s="7">
        <v>600</v>
      </c>
      <c r="I1385" s="11">
        <v>0.08</v>
      </c>
    </row>
    <row r="1386" spans="1:9">
      <c r="A1386" s="7" t="s">
        <v>1683</v>
      </c>
      <c r="B1386" s="7">
        <v>4240</v>
      </c>
      <c r="C1386" s="7" t="str">
        <f t="shared" si="61"/>
        <v>070248000</v>
      </c>
      <c r="D1386" s="7" t="s">
        <v>1691</v>
      </c>
      <c r="E1386" s="7">
        <v>5067</v>
      </c>
      <c r="F1386" s="7" t="str">
        <f>"070248293"</f>
        <v>070248293</v>
      </c>
      <c r="H1386" s="7">
        <v>739</v>
      </c>
      <c r="I1386" s="11">
        <v>0.76</v>
      </c>
    </row>
    <row r="1387" spans="1:9">
      <c r="A1387" s="7" t="s">
        <v>1683</v>
      </c>
      <c r="B1387" s="7">
        <v>4240</v>
      </c>
      <c r="C1387" s="7" t="str">
        <f t="shared" si="61"/>
        <v>070248000</v>
      </c>
      <c r="D1387" s="7" t="s">
        <v>1692</v>
      </c>
      <c r="E1387" s="7">
        <v>6010</v>
      </c>
      <c r="F1387" s="7" t="str">
        <f>"070248129"</f>
        <v>070248129</v>
      </c>
      <c r="H1387" s="7">
        <v>487</v>
      </c>
      <c r="I1387" s="11">
        <v>0.11</v>
      </c>
    </row>
    <row r="1388" spans="1:9">
      <c r="A1388" s="7" t="s">
        <v>1683</v>
      </c>
      <c r="B1388" s="7">
        <v>4240</v>
      </c>
      <c r="C1388" s="7" t="str">
        <f t="shared" si="61"/>
        <v>070248000</v>
      </c>
      <c r="D1388" s="7" t="s">
        <v>1693</v>
      </c>
      <c r="E1388" s="7">
        <v>5061</v>
      </c>
      <c r="F1388" s="7" t="str">
        <f>"070248164"</f>
        <v>070248164</v>
      </c>
      <c r="H1388" s="7">
        <v>433</v>
      </c>
      <c r="I1388" s="11">
        <v>0.15</v>
      </c>
    </row>
    <row r="1389" spans="1:9">
      <c r="A1389" s="7" t="s">
        <v>1683</v>
      </c>
      <c r="B1389" s="7">
        <v>4240</v>
      </c>
      <c r="C1389" s="7" t="str">
        <f t="shared" si="61"/>
        <v>070248000</v>
      </c>
      <c r="D1389" s="7" t="s">
        <v>1694</v>
      </c>
      <c r="E1389" s="7">
        <v>5070</v>
      </c>
      <c r="F1389" s="7" t="str">
        <f>"070248296"</f>
        <v>070248296</v>
      </c>
      <c r="H1389" s="7">
        <v>1952</v>
      </c>
      <c r="I1389" s="11">
        <v>0.12</v>
      </c>
    </row>
    <row r="1390" spans="1:9">
      <c r="A1390" s="7" t="s">
        <v>1683</v>
      </c>
      <c r="B1390" s="7">
        <v>4240</v>
      </c>
      <c r="C1390" s="7" t="str">
        <f t="shared" si="61"/>
        <v>070248000</v>
      </c>
      <c r="D1390" s="7" t="s">
        <v>1695</v>
      </c>
      <c r="E1390" s="7">
        <v>5046</v>
      </c>
      <c r="F1390" s="7" t="str">
        <f>"070248108"</f>
        <v>070248108</v>
      </c>
      <c r="H1390" s="7">
        <v>363</v>
      </c>
      <c r="I1390" s="11">
        <v>0.6</v>
      </c>
    </row>
    <row r="1391" spans="1:9">
      <c r="A1391" s="7" t="s">
        <v>1683</v>
      </c>
      <c r="B1391" s="7">
        <v>4240</v>
      </c>
      <c r="C1391" s="7" t="str">
        <f t="shared" si="61"/>
        <v>070248000</v>
      </c>
      <c r="D1391" s="7" t="s">
        <v>1696</v>
      </c>
      <c r="E1391" s="7">
        <v>5051</v>
      </c>
      <c r="F1391" s="7" t="str">
        <f>"070248114"</f>
        <v>070248114</v>
      </c>
      <c r="H1391" s="7">
        <v>476</v>
      </c>
      <c r="I1391" s="11">
        <v>0.69</v>
      </c>
    </row>
    <row r="1392" spans="1:9">
      <c r="A1392" s="7" t="s">
        <v>1683</v>
      </c>
      <c r="B1392" s="7">
        <v>4240</v>
      </c>
      <c r="C1392" s="7" t="str">
        <f t="shared" si="61"/>
        <v>070248000</v>
      </c>
      <c r="D1392" s="7" t="s">
        <v>1697</v>
      </c>
      <c r="E1392" s="7">
        <v>5049</v>
      </c>
      <c r="F1392" s="7" t="str">
        <f>"070248112"</f>
        <v>070248112</v>
      </c>
      <c r="H1392" s="7">
        <v>650</v>
      </c>
      <c r="I1392" s="11">
        <v>0.12</v>
      </c>
    </row>
    <row r="1393" spans="1:9">
      <c r="A1393" s="7" t="s">
        <v>1683</v>
      </c>
      <c r="B1393" s="7">
        <v>4240</v>
      </c>
      <c r="C1393" s="7" t="str">
        <f t="shared" si="61"/>
        <v>070248000</v>
      </c>
      <c r="D1393" s="7" t="s">
        <v>1698</v>
      </c>
      <c r="E1393" s="7">
        <v>5062</v>
      </c>
      <c r="F1393" s="7" t="str">
        <f>"070248165"</f>
        <v>070248165</v>
      </c>
      <c r="H1393" s="7">
        <v>771</v>
      </c>
      <c r="I1393" s="11">
        <v>0.45</v>
      </c>
    </row>
    <row r="1394" spans="1:9">
      <c r="A1394" s="7" t="s">
        <v>1683</v>
      </c>
      <c r="B1394" s="7">
        <v>4240</v>
      </c>
      <c r="C1394" s="7" t="str">
        <f t="shared" si="61"/>
        <v>070248000</v>
      </c>
      <c r="D1394" s="7" t="s">
        <v>1699</v>
      </c>
      <c r="E1394" s="7">
        <v>5045</v>
      </c>
      <c r="F1394" s="7" t="str">
        <f>"070248107"</f>
        <v>070248107</v>
      </c>
      <c r="H1394" s="7">
        <v>580</v>
      </c>
      <c r="I1394" s="11">
        <v>0.17</v>
      </c>
    </row>
    <row r="1395" spans="1:9">
      <c r="A1395" s="7" t="s">
        <v>1683</v>
      </c>
      <c r="B1395" s="7">
        <v>4240</v>
      </c>
      <c r="C1395" s="7" t="str">
        <f t="shared" si="61"/>
        <v>070248000</v>
      </c>
      <c r="D1395" s="7" t="s">
        <v>672</v>
      </c>
      <c r="E1395" s="7">
        <v>5055</v>
      </c>
      <c r="F1395" s="7" t="str">
        <f>"070248123"</f>
        <v>070248123</v>
      </c>
      <c r="H1395" s="7">
        <v>406</v>
      </c>
      <c r="I1395" s="11">
        <v>0.18</v>
      </c>
    </row>
    <row r="1396" spans="1:9">
      <c r="A1396" s="7" t="s">
        <v>1683</v>
      </c>
      <c r="B1396" s="7">
        <v>4240</v>
      </c>
      <c r="C1396" s="7" t="str">
        <f t="shared" si="61"/>
        <v>070248000</v>
      </c>
      <c r="D1396" s="7" t="s">
        <v>1700</v>
      </c>
      <c r="E1396" s="7">
        <v>5064</v>
      </c>
      <c r="F1396" s="7" t="str">
        <f>"070248167"</f>
        <v>070248167</v>
      </c>
      <c r="H1396" s="7">
        <v>801</v>
      </c>
      <c r="I1396" s="11">
        <v>0.39</v>
      </c>
    </row>
    <row r="1397" spans="1:9">
      <c r="A1397" s="7" t="s">
        <v>1683</v>
      </c>
      <c r="B1397" s="7">
        <v>4240</v>
      </c>
      <c r="C1397" s="7" t="str">
        <f t="shared" si="61"/>
        <v>070248000</v>
      </c>
      <c r="D1397" s="7" t="s">
        <v>1701</v>
      </c>
      <c r="E1397" s="7">
        <v>5063</v>
      </c>
      <c r="F1397" s="7" t="str">
        <f>"070248166"</f>
        <v>070248166</v>
      </c>
      <c r="H1397" s="7">
        <v>550</v>
      </c>
      <c r="I1397" s="11">
        <v>0.13</v>
      </c>
    </row>
    <row r="1398" spans="1:9">
      <c r="A1398" s="7" t="s">
        <v>1683</v>
      </c>
      <c r="B1398" s="7">
        <v>4240</v>
      </c>
      <c r="C1398" s="7" t="str">
        <f t="shared" si="61"/>
        <v>070248000</v>
      </c>
      <c r="D1398" s="7" t="s">
        <v>1702</v>
      </c>
      <c r="E1398" s="7">
        <v>5050</v>
      </c>
      <c r="F1398" s="7" t="str">
        <f>"070248113"</f>
        <v>070248113</v>
      </c>
      <c r="H1398" s="7">
        <v>501</v>
      </c>
      <c r="I1398" s="11">
        <v>0.48</v>
      </c>
    </row>
    <row r="1399" spans="1:9">
      <c r="A1399" s="7" t="s">
        <v>1683</v>
      </c>
      <c r="B1399" s="7">
        <v>4240</v>
      </c>
      <c r="C1399" s="7" t="str">
        <f t="shared" si="61"/>
        <v>070248000</v>
      </c>
      <c r="D1399" s="7" t="s">
        <v>1510</v>
      </c>
      <c r="E1399" s="7">
        <v>5048</v>
      </c>
      <c r="F1399" s="7" t="str">
        <f>"070248110"</f>
        <v>070248110</v>
      </c>
      <c r="H1399" s="7">
        <v>412</v>
      </c>
      <c r="I1399" s="11">
        <v>0.55000000000000004</v>
      </c>
    </row>
    <row r="1400" spans="1:9">
      <c r="A1400" s="7" t="s">
        <v>1683</v>
      </c>
      <c r="B1400" s="7">
        <v>4240</v>
      </c>
      <c r="C1400" s="7" t="str">
        <f t="shared" si="61"/>
        <v>070248000</v>
      </c>
      <c r="D1400" s="7" t="s">
        <v>462</v>
      </c>
      <c r="E1400" s="7">
        <v>5053</v>
      </c>
      <c r="F1400" s="7" t="str">
        <f>"070248120"</f>
        <v>070248120</v>
      </c>
      <c r="H1400" s="7">
        <v>438</v>
      </c>
      <c r="I1400" s="11">
        <v>0.18</v>
      </c>
    </row>
    <row r="1401" spans="1:9">
      <c r="A1401" s="7" t="s">
        <v>1683</v>
      </c>
      <c r="B1401" s="7">
        <v>4240</v>
      </c>
      <c r="C1401" s="7" t="str">
        <f t="shared" si="61"/>
        <v>070248000</v>
      </c>
      <c r="D1401" s="7" t="s">
        <v>1703</v>
      </c>
      <c r="E1401" s="7">
        <v>5057</v>
      </c>
      <c r="F1401" s="7" t="str">
        <f>"070248125"</f>
        <v>070248125</v>
      </c>
      <c r="H1401" s="7">
        <v>451</v>
      </c>
      <c r="I1401" s="11">
        <v>0.28999999999999998</v>
      </c>
    </row>
    <row r="1402" spans="1:9">
      <c r="A1402" s="7" t="s">
        <v>1683</v>
      </c>
      <c r="B1402" s="7">
        <v>4240</v>
      </c>
      <c r="C1402" s="7" t="str">
        <f t="shared" si="61"/>
        <v>070248000</v>
      </c>
      <c r="D1402" s="7" t="s">
        <v>1704</v>
      </c>
      <c r="E1402" s="7">
        <v>5068</v>
      </c>
      <c r="F1402" s="7" t="str">
        <f>"070248294"</f>
        <v>070248294</v>
      </c>
      <c r="H1402" s="7">
        <v>1452</v>
      </c>
      <c r="I1402" s="11">
        <v>0.3</v>
      </c>
    </row>
    <row r="1403" spans="1:9">
      <c r="A1403" s="7" t="s">
        <v>1683</v>
      </c>
      <c r="B1403" s="7">
        <v>4240</v>
      </c>
      <c r="C1403" s="7" t="str">
        <f t="shared" si="61"/>
        <v>070248000</v>
      </c>
      <c r="D1403" s="7" t="s">
        <v>1705</v>
      </c>
      <c r="E1403" s="7">
        <v>5056</v>
      </c>
      <c r="F1403" s="7" t="str">
        <f>"070248124"</f>
        <v>070248124</v>
      </c>
      <c r="H1403" s="7">
        <v>569</v>
      </c>
      <c r="I1403" s="11">
        <v>0.2</v>
      </c>
    </row>
    <row r="1404" spans="1:9">
      <c r="A1404" s="7" t="s">
        <v>1683</v>
      </c>
      <c r="B1404" s="7">
        <v>4240</v>
      </c>
      <c r="C1404" s="7" t="str">
        <f t="shared" si="61"/>
        <v>070248000</v>
      </c>
      <c r="D1404" s="7" t="s">
        <v>1706</v>
      </c>
      <c r="E1404" s="7">
        <v>5044</v>
      </c>
      <c r="F1404" s="7" t="str">
        <f>"070248103"</f>
        <v>070248103</v>
      </c>
      <c r="H1404" s="7">
        <v>623</v>
      </c>
      <c r="I1404" s="11">
        <v>0.6</v>
      </c>
    </row>
    <row r="1405" spans="1:9">
      <c r="A1405" s="7" t="s">
        <v>1683</v>
      </c>
      <c r="B1405" s="7">
        <v>4240</v>
      </c>
      <c r="C1405" s="7" t="str">
        <f t="shared" si="61"/>
        <v>070248000</v>
      </c>
      <c r="D1405" s="7" t="s">
        <v>1707</v>
      </c>
      <c r="E1405" s="7">
        <v>5047</v>
      </c>
      <c r="F1405" s="7" t="str">
        <f>"070248109"</f>
        <v>070248109</v>
      </c>
      <c r="H1405" s="7">
        <v>417</v>
      </c>
      <c r="I1405" s="11">
        <v>0.77</v>
      </c>
    </row>
    <row r="1406" spans="1:9">
      <c r="A1406" s="7" t="s">
        <v>1683</v>
      </c>
      <c r="B1406" s="7">
        <v>4240</v>
      </c>
      <c r="C1406" s="7" t="str">
        <f t="shared" si="61"/>
        <v>070248000</v>
      </c>
      <c r="D1406" s="7" t="s">
        <v>1708</v>
      </c>
      <c r="E1406" s="7">
        <v>5052</v>
      </c>
      <c r="F1406" s="7" t="str">
        <f>"070248115"</f>
        <v>070248115</v>
      </c>
      <c r="H1406" s="7">
        <v>432</v>
      </c>
      <c r="I1406" s="11">
        <v>0.84</v>
      </c>
    </row>
    <row r="1407" spans="1:9" ht="28.5">
      <c r="A1407" s="7" t="s">
        <v>1709</v>
      </c>
      <c r="B1407" s="7">
        <v>80158</v>
      </c>
      <c r="C1407" s="7" t="str">
        <f>"094013000"</f>
        <v>094013000</v>
      </c>
      <c r="D1407" s="7" t="s">
        <v>1710</v>
      </c>
      <c r="E1407" s="7">
        <v>80159</v>
      </c>
      <c r="F1407" s="7" t="str">
        <f>"033904014"</f>
        <v>033904014</v>
      </c>
      <c r="G1407" s="7" t="s">
        <v>16</v>
      </c>
      <c r="H1407" s="7">
        <v>75</v>
      </c>
      <c r="I1407" s="11" t="s">
        <v>17</v>
      </c>
    </row>
    <row r="1408" spans="1:9" ht="28.5">
      <c r="A1408" s="7" t="s">
        <v>1711</v>
      </c>
      <c r="B1408" s="7">
        <v>88448</v>
      </c>
      <c r="C1408" s="7" t="str">
        <f>"099102000"</f>
        <v>099102000</v>
      </c>
      <c r="D1408" s="7" t="s">
        <v>1712</v>
      </c>
      <c r="E1408" s="7">
        <v>80161</v>
      </c>
      <c r="F1408" s="7" t="str">
        <f>"093906003"</f>
        <v>093906003</v>
      </c>
      <c r="G1408" s="7" t="s">
        <v>16</v>
      </c>
      <c r="H1408" s="7">
        <v>211</v>
      </c>
      <c r="I1408" s="11" t="s">
        <v>17</v>
      </c>
    </row>
    <row r="1409" spans="1:9" ht="28.5">
      <c r="A1409" s="7" t="s">
        <v>1713</v>
      </c>
      <c r="B1409" s="7">
        <v>4467</v>
      </c>
      <c r="C1409" s="7" t="str">
        <f>"130209000"</f>
        <v>130209000</v>
      </c>
      <c r="D1409" s="7" t="s">
        <v>1714</v>
      </c>
      <c r="E1409" s="7">
        <v>6085</v>
      </c>
      <c r="F1409" s="7" t="str">
        <f>"130209210"</f>
        <v>130209210</v>
      </c>
      <c r="H1409" s="7">
        <v>461</v>
      </c>
      <c r="I1409" s="11">
        <v>0.57999999999999996</v>
      </c>
    </row>
    <row r="1410" spans="1:9">
      <c r="A1410" s="7" t="s">
        <v>1713</v>
      </c>
      <c r="B1410" s="7">
        <v>4467</v>
      </c>
      <c r="C1410" s="7" t="str">
        <f>"130209000"</f>
        <v>130209000</v>
      </c>
      <c r="D1410" s="7" t="s">
        <v>1715</v>
      </c>
      <c r="E1410" s="7">
        <v>6083</v>
      </c>
      <c r="F1410" s="7" t="str">
        <f>"130209120"</f>
        <v>130209120</v>
      </c>
      <c r="H1410" s="7">
        <v>264</v>
      </c>
      <c r="I1410" s="11">
        <v>0.7</v>
      </c>
    </row>
    <row r="1411" spans="1:9" ht="28.5">
      <c r="A1411" s="7" t="s">
        <v>1716</v>
      </c>
      <c r="B1411" s="7">
        <v>92381</v>
      </c>
      <c r="C1411" s="7" t="str">
        <f>"078256000"</f>
        <v>078256000</v>
      </c>
      <c r="D1411" s="7" t="s">
        <v>1716</v>
      </c>
      <c r="E1411" s="7">
        <v>92890</v>
      </c>
      <c r="F1411" s="7" t="str">
        <f>"078256101"</f>
        <v>078256101</v>
      </c>
      <c r="H1411" s="7">
        <v>248</v>
      </c>
      <c r="I1411" s="11">
        <v>0.89</v>
      </c>
    </row>
    <row r="1412" spans="1:9" ht="28.5">
      <c r="A1412" s="7" t="s">
        <v>1717</v>
      </c>
      <c r="B1412" s="7">
        <v>4472</v>
      </c>
      <c r="C1412" s="7" t="str">
        <f>"130240000"</f>
        <v>130240000</v>
      </c>
      <c r="D1412" s="7" t="s">
        <v>1718</v>
      </c>
      <c r="E1412" s="7">
        <v>6104</v>
      </c>
      <c r="F1412" s="7" t="str">
        <f>"130240101"</f>
        <v>130240101</v>
      </c>
      <c r="G1412" s="7" t="s">
        <v>16</v>
      </c>
      <c r="H1412" s="7">
        <v>139</v>
      </c>
      <c r="I1412" s="11">
        <v>0.75</v>
      </c>
    </row>
    <row r="1413" spans="1:9" ht="28.5">
      <c r="A1413" s="7" t="s">
        <v>1717</v>
      </c>
      <c r="B1413" s="7">
        <v>4472</v>
      </c>
      <c r="C1413" s="7" t="str">
        <f>"130240000"</f>
        <v>130240000</v>
      </c>
      <c r="D1413" s="7" t="s">
        <v>1719</v>
      </c>
      <c r="E1413" s="7">
        <v>6105</v>
      </c>
      <c r="F1413" s="7" t="str">
        <f>"130240202"</f>
        <v>130240202</v>
      </c>
      <c r="G1413" s="7" t="s">
        <v>16</v>
      </c>
      <c r="H1413" s="7">
        <v>59</v>
      </c>
      <c r="I1413" s="11">
        <v>0.65</v>
      </c>
    </row>
    <row r="1414" spans="1:9">
      <c r="A1414" s="7" t="s">
        <v>1720</v>
      </c>
      <c r="B1414" s="7">
        <v>4250</v>
      </c>
      <c r="C1414" s="7" t="str">
        <f>"070371000"</f>
        <v>070371000</v>
      </c>
      <c r="D1414" s="7" t="s">
        <v>1721</v>
      </c>
      <c r="E1414" s="7">
        <v>5188</v>
      </c>
      <c r="F1414" s="7" t="str">
        <f>"070371101"</f>
        <v>070371101</v>
      </c>
      <c r="G1414" s="7" t="s">
        <v>26</v>
      </c>
      <c r="H1414" s="7">
        <v>36</v>
      </c>
      <c r="I1414" s="11">
        <v>0.74</v>
      </c>
    </row>
    <row r="1415" spans="1:9" ht="28.5">
      <c r="A1415" s="7" t="s">
        <v>1722</v>
      </c>
      <c r="B1415" s="7">
        <v>90790</v>
      </c>
      <c r="C1415" s="7" t="str">
        <f>"093917000"</f>
        <v>093917000</v>
      </c>
      <c r="D1415" s="7" t="s">
        <v>1723</v>
      </c>
      <c r="E1415" s="7">
        <v>90791</v>
      </c>
      <c r="F1415" s="7" t="str">
        <f>"093917001"</f>
        <v>093917001</v>
      </c>
      <c r="G1415" s="7" t="s">
        <v>16</v>
      </c>
      <c r="H1415" s="7">
        <v>198</v>
      </c>
      <c r="I1415" s="11" t="s">
        <v>17</v>
      </c>
    </row>
    <row r="1416" spans="1:9" ht="28.5">
      <c r="A1416" s="7" t="s">
        <v>1722</v>
      </c>
      <c r="B1416" s="7">
        <v>90790</v>
      </c>
      <c r="C1416" s="7" t="str">
        <f>"093917000"</f>
        <v>093917000</v>
      </c>
      <c r="D1416" s="7" t="s">
        <v>1724</v>
      </c>
      <c r="E1416" s="7">
        <v>5653</v>
      </c>
      <c r="F1416" s="7" t="str">
        <f>"098746001"</f>
        <v>098746001</v>
      </c>
      <c r="G1416" s="7" t="s">
        <v>16</v>
      </c>
      <c r="H1416" s="7">
        <v>59</v>
      </c>
      <c r="I1416" s="11" t="s">
        <v>17</v>
      </c>
    </row>
    <row r="1417" spans="1:9">
      <c r="A1417" s="7" t="s">
        <v>1725</v>
      </c>
      <c r="B1417" s="7">
        <v>4393</v>
      </c>
      <c r="C1417" s="7" t="str">
        <f>"090210000"</f>
        <v>090210000</v>
      </c>
      <c r="D1417" s="7" t="s">
        <v>1726</v>
      </c>
      <c r="E1417" s="7">
        <v>5628</v>
      </c>
      <c r="F1417" s="7" t="str">
        <f>"090210116"</f>
        <v>090210116</v>
      </c>
      <c r="H1417" s="7">
        <v>233</v>
      </c>
      <c r="I1417" s="11">
        <v>0.39</v>
      </c>
    </row>
    <row r="1418" spans="1:9" ht="28.5">
      <c r="A1418" s="7" t="s">
        <v>1725</v>
      </c>
      <c r="B1418" s="7">
        <v>4393</v>
      </c>
      <c r="C1418" s="7" t="str">
        <f>"090210000"</f>
        <v>090210000</v>
      </c>
      <c r="D1418" s="7" t="s">
        <v>1727</v>
      </c>
      <c r="E1418" s="7">
        <v>5627</v>
      </c>
      <c r="F1418" s="7" t="str">
        <f>"090210115"</f>
        <v>090210115</v>
      </c>
      <c r="H1418" s="7">
        <v>551</v>
      </c>
      <c r="I1418" s="11">
        <v>0.44</v>
      </c>
    </row>
    <row r="1419" spans="1:9">
      <c r="A1419" s="7" t="s">
        <v>1725</v>
      </c>
      <c r="B1419" s="7">
        <v>4393</v>
      </c>
      <c r="C1419" s="7" t="str">
        <f>"090210000"</f>
        <v>090210000</v>
      </c>
      <c r="D1419" s="7" t="s">
        <v>1728</v>
      </c>
      <c r="E1419" s="7">
        <v>5632</v>
      </c>
      <c r="F1419" s="7" t="str">
        <f>"090210225"</f>
        <v>090210225</v>
      </c>
      <c r="H1419" s="7">
        <v>1192</v>
      </c>
      <c r="I1419" s="11">
        <v>0.34</v>
      </c>
    </row>
    <row r="1420" spans="1:9">
      <c r="A1420" s="7" t="s">
        <v>1725</v>
      </c>
      <c r="B1420" s="7">
        <v>4393</v>
      </c>
      <c r="C1420" s="7" t="str">
        <f>"090210000"</f>
        <v>090210000</v>
      </c>
      <c r="D1420" s="7" t="s">
        <v>1729</v>
      </c>
      <c r="E1420" s="7">
        <v>5631</v>
      </c>
      <c r="F1420" s="7" t="str">
        <f>"090210120"</f>
        <v>090210120</v>
      </c>
      <c r="H1420" s="7">
        <v>716</v>
      </c>
      <c r="I1420" s="11">
        <v>0.42</v>
      </c>
    </row>
    <row r="1421" spans="1:9">
      <c r="A1421" s="7" t="s">
        <v>1725</v>
      </c>
      <c r="B1421" s="7">
        <v>4393</v>
      </c>
      <c r="C1421" s="7" t="str">
        <f>"090210000"</f>
        <v>090210000</v>
      </c>
      <c r="D1421" s="7" t="s">
        <v>1730</v>
      </c>
      <c r="E1421" s="7">
        <v>5626</v>
      </c>
      <c r="F1421" s="7" t="str">
        <f>"090210111"</f>
        <v>090210111</v>
      </c>
      <c r="H1421" s="7">
        <v>535</v>
      </c>
      <c r="I1421" s="11">
        <v>0.43</v>
      </c>
    </row>
    <row r="1422" spans="1:9">
      <c r="A1422" s="7" t="s">
        <v>1731</v>
      </c>
      <c r="B1422" s="7">
        <v>4175</v>
      </c>
      <c r="C1422" s="7" t="str">
        <f t="shared" ref="C1422:C1429" si="62">"020268000"</f>
        <v>020268000</v>
      </c>
      <c r="D1422" s="7" t="s">
        <v>1732</v>
      </c>
      <c r="E1422" s="7">
        <v>4775</v>
      </c>
      <c r="F1422" s="7" t="str">
        <f>"020268110"</f>
        <v>020268110</v>
      </c>
      <c r="H1422" s="7">
        <v>289</v>
      </c>
      <c r="I1422" s="11">
        <v>0.64</v>
      </c>
    </row>
    <row r="1423" spans="1:9">
      <c r="A1423" s="7" t="s">
        <v>1731</v>
      </c>
      <c r="B1423" s="7">
        <v>4175</v>
      </c>
      <c r="C1423" s="7" t="str">
        <f t="shared" si="62"/>
        <v>020268000</v>
      </c>
      <c r="D1423" s="7" t="s">
        <v>1733</v>
      </c>
      <c r="E1423" s="7">
        <v>4783</v>
      </c>
      <c r="F1423" s="7" t="str">
        <f>"020268260"</f>
        <v>020268260</v>
      </c>
      <c r="H1423" s="7">
        <v>1796</v>
      </c>
      <c r="I1423" s="11">
        <v>0.37</v>
      </c>
    </row>
    <row r="1424" spans="1:9" ht="28.5">
      <c r="A1424" s="7" t="s">
        <v>1731</v>
      </c>
      <c r="B1424" s="7">
        <v>4175</v>
      </c>
      <c r="C1424" s="7" t="str">
        <f t="shared" si="62"/>
        <v>020268000</v>
      </c>
      <c r="D1424" s="7" t="s">
        <v>1734</v>
      </c>
      <c r="E1424" s="7">
        <v>4776</v>
      </c>
      <c r="F1424" s="7" t="str">
        <f>"020268115"</f>
        <v>020268115</v>
      </c>
      <c r="G1424" s="7" t="s">
        <v>16</v>
      </c>
      <c r="H1424" s="7">
        <v>301</v>
      </c>
      <c r="I1424" s="11" t="s">
        <v>17</v>
      </c>
    </row>
    <row r="1425" spans="1:9" ht="28.5">
      <c r="A1425" s="7" t="s">
        <v>1731</v>
      </c>
      <c r="B1425" s="7">
        <v>4175</v>
      </c>
      <c r="C1425" s="7" t="str">
        <f t="shared" si="62"/>
        <v>020268000</v>
      </c>
      <c r="D1425" s="7" t="s">
        <v>1735</v>
      </c>
      <c r="E1425" s="7">
        <v>4777</v>
      </c>
      <c r="F1425" s="7" t="str">
        <f>"020268120"</f>
        <v>020268120</v>
      </c>
      <c r="H1425" s="7">
        <v>445</v>
      </c>
      <c r="I1425" s="11">
        <v>0.39</v>
      </c>
    </row>
    <row r="1426" spans="1:9">
      <c r="A1426" s="7" t="s">
        <v>1731</v>
      </c>
      <c r="B1426" s="7">
        <v>4175</v>
      </c>
      <c r="C1426" s="7" t="str">
        <f t="shared" si="62"/>
        <v>020268000</v>
      </c>
      <c r="D1426" s="7" t="s">
        <v>1736</v>
      </c>
      <c r="E1426" s="7">
        <v>4781</v>
      </c>
      <c r="F1426" s="7" t="str">
        <f>"020268150"</f>
        <v>020268150</v>
      </c>
      <c r="H1426" s="7">
        <v>558</v>
      </c>
      <c r="I1426" s="11">
        <v>0.49</v>
      </c>
    </row>
    <row r="1427" spans="1:9">
      <c r="A1427" s="7" t="s">
        <v>1731</v>
      </c>
      <c r="B1427" s="7">
        <v>4175</v>
      </c>
      <c r="C1427" s="7" t="str">
        <f t="shared" si="62"/>
        <v>020268000</v>
      </c>
      <c r="D1427" s="7" t="s">
        <v>1737</v>
      </c>
      <c r="E1427" s="7">
        <v>4778</v>
      </c>
      <c r="F1427" s="7" t="str">
        <f>"020268125"</f>
        <v>020268125</v>
      </c>
      <c r="H1427" s="7">
        <v>343</v>
      </c>
      <c r="I1427" s="11">
        <v>0.47</v>
      </c>
    </row>
    <row r="1428" spans="1:9" ht="28.5">
      <c r="A1428" s="7" t="s">
        <v>1731</v>
      </c>
      <c r="B1428" s="7">
        <v>4175</v>
      </c>
      <c r="C1428" s="7" t="str">
        <f t="shared" si="62"/>
        <v>020268000</v>
      </c>
      <c r="D1428" s="7" t="s">
        <v>1738</v>
      </c>
      <c r="E1428" s="7">
        <v>4779</v>
      </c>
      <c r="F1428" s="7" t="str">
        <f>"020268130"</f>
        <v>020268130</v>
      </c>
      <c r="H1428" s="7">
        <v>432</v>
      </c>
      <c r="I1428" s="11">
        <v>0.53</v>
      </c>
    </row>
    <row r="1429" spans="1:9" ht="28.5">
      <c r="A1429" s="7" t="s">
        <v>1731</v>
      </c>
      <c r="B1429" s="7">
        <v>4175</v>
      </c>
      <c r="C1429" s="7" t="str">
        <f t="shared" si="62"/>
        <v>020268000</v>
      </c>
      <c r="D1429" s="7" t="s">
        <v>525</v>
      </c>
      <c r="E1429" s="7">
        <v>4780</v>
      </c>
      <c r="F1429" s="7" t="str">
        <f>"020268135"</f>
        <v>020268135</v>
      </c>
      <c r="H1429" s="7">
        <v>365</v>
      </c>
      <c r="I1429" s="11">
        <v>0.55000000000000004</v>
      </c>
    </row>
    <row r="1430" spans="1:9">
      <c r="A1430" s="7" t="s">
        <v>1739</v>
      </c>
      <c r="B1430" s="7">
        <v>4478</v>
      </c>
      <c r="C1430" s="7" t="str">
        <f>"130315000"</f>
        <v>130315000</v>
      </c>
      <c r="D1430" s="7" t="s">
        <v>1740</v>
      </c>
      <c r="E1430" s="7">
        <v>6113</v>
      </c>
      <c r="F1430" s="7" t="str">
        <f>"130315101"</f>
        <v>130315101</v>
      </c>
      <c r="H1430" s="7">
        <v>49</v>
      </c>
      <c r="I1430" s="11">
        <v>0.47</v>
      </c>
    </row>
    <row r="1431" spans="1:9" ht="28.5">
      <c r="A1431" s="7" t="s">
        <v>1741</v>
      </c>
      <c r="B1431" s="7">
        <v>79084</v>
      </c>
      <c r="C1431" s="7" t="str">
        <f t="shared" ref="C1431:C1436" si="63">"078914000"</f>
        <v>078914000</v>
      </c>
      <c r="D1431" s="7" t="s">
        <v>1742</v>
      </c>
      <c r="E1431" s="7">
        <v>89870</v>
      </c>
      <c r="F1431" s="7" t="str">
        <f>"078542101"</f>
        <v>078542101</v>
      </c>
      <c r="G1431" s="7" t="s">
        <v>16</v>
      </c>
      <c r="H1431" s="7">
        <v>271</v>
      </c>
      <c r="I1431" s="12">
        <v>0.81</v>
      </c>
    </row>
    <row r="1432" spans="1:9" ht="28.5">
      <c r="A1432" s="7" t="s">
        <v>1741</v>
      </c>
      <c r="B1432" s="7">
        <v>79084</v>
      </c>
      <c r="C1432" s="7" t="str">
        <f t="shared" si="63"/>
        <v>078914000</v>
      </c>
      <c r="D1432" s="7" t="s">
        <v>1743</v>
      </c>
      <c r="E1432" s="7">
        <v>89941</v>
      </c>
      <c r="F1432" s="7" t="str">
        <f>"078566001"</f>
        <v>078566001</v>
      </c>
      <c r="G1432" s="7" t="s">
        <v>16</v>
      </c>
      <c r="H1432" s="7">
        <v>230</v>
      </c>
      <c r="I1432" s="11" t="s">
        <v>17</v>
      </c>
    </row>
    <row r="1433" spans="1:9" ht="28.5">
      <c r="A1433" s="7" t="s">
        <v>1741</v>
      </c>
      <c r="B1433" s="7">
        <v>79084</v>
      </c>
      <c r="C1433" s="7" t="str">
        <f t="shared" si="63"/>
        <v>078914000</v>
      </c>
      <c r="D1433" s="7" t="s">
        <v>1744</v>
      </c>
      <c r="E1433" s="7">
        <v>79092</v>
      </c>
      <c r="F1433" s="7" t="str">
        <f>"078914201"</f>
        <v>078914201</v>
      </c>
      <c r="G1433" s="7" t="s">
        <v>16</v>
      </c>
      <c r="H1433" s="7">
        <v>181</v>
      </c>
      <c r="I1433" s="12">
        <v>0.64</v>
      </c>
    </row>
    <row r="1434" spans="1:9" ht="28.5">
      <c r="A1434" s="7" t="s">
        <v>1741</v>
      </c>
      <c r="B1434" s="7">
        <v>79084</v>
      </c>
      <c r="C1434" s="7" t="str">
        <f t="shared" si="63"/>
        <v>078914000</v>
      </c>
      <c r="D1434" s="7" t="s">
        <v>1745</v>
      </c>
      <c r="E1434" s="7">
        <v>91109</v>
      </c>
      <c r="F1434" s="7" t="str">
        <f>"078599301"</f>
        <v>078599301</v>
      </c>
      <c r="G1434" s="7" t="s">
        <v>16</v>
      </c>
      <c r="H1434" s="7">
        <v>289</v>
      </c>
      <c r="I1434" s="12">
        <v>0.83</v>
      </c>
    </row>
    <row r="1435" spans="1:9" ht="28.5">
      <c r="A1435" s="7" t="s">
        <v>1741</v>
      </c>
      <c r="B1435" s="7">
        <v>79084</v>
      </c>
      <c r="C1435" s="7" t="str">
        <f t="shared" si="63"/>
        <v>078914000</v>
      </c>
      <c r="D1435" s="7" t="s">
        <v>1746</v>
      </c>
      <c r="E1435" s="7">
        <v>91122</v>
      </c>
      <c r="F1435" s="7" t="str">
        <f>"078578301"</f>
        <v>078578301</v>
      </c>
      <c r="G1435" s="7" t="s">
        <v>16</v>
      </c>
      <c r="H1435" s="7">
        <v>226</v>
      </c>
      <c r="I1435" s="12">
        <v>0.72</v>
      </c>
    </row>
    <row r="1436" spans="1:9" ht="28.5">
      <c r="A1436" s="7" t="s">
        <v>1741</v>
      </c>
      <c r="B1436" s="7">
        <v>79084</v>
      </c>
      <c r="C1436" s="7" t="str">
        <f t="shared" si="63"/>
        <v>078914000</v>
      </c>
      <c r="D1436" s="7" t="s">
        <v>1747</v>
      </c>
      <c r="E1436" s="7">
        <v>90318</v>
      </c>
      <c r="F1436" s="7" t="str">
        <f>"078562001"</f>
        <v>078562001</v>
      </c>
      <c r="G1436" s="7" t="s">
        <v>16</v>
      </c>
      <c r="H1436" s="7">
        <v>262</v>
      </c>
      <c r="I1436" s="12">
        <v>0.8</v>
      </c>
    </row>
    <row r="1437" spans="1:9">
      <c r="A1437" s="7" t="s">
        <v>1748</v>
      </c>
      <c r="B1437" s="7">
        <v>4391</v>
      </c>
      <c r="C1437" s="7" t="str">
        <f t="shared" ref="C1437:C1442" si="64">"090205000"</f>
        <v>090205000</v>
      </c>
      <c r="D1437" s="7" t="s">
        <v>1749</v>
      </c>
      <c r="E1437" s="7">
        <v>5619</v>
      </c>
      <c r="F1437" s="7" t="str">
        <f>"090205006"</f>
        <v>090205006</v>
      </c>
      <c r="H1437" s="7">
        <v>514</v>
      </c>
      <c r="I1437" s="11">
        <v>0.59</v>
      </c>
    </row>
    <row r="1438" spans="1:9">
      <c r="A1438" s="7" t="s">
        <v>1748</v>
      </c>
      <c r="B1438" s="7">
        <v>4391</v>
      </c>
      <c r="C1438" s="7" t="str">
        <f t="shared" si="64"/>
        <v>090205000</v>
      </c>
      <c r="D1438" s="7" t="s">
        <v>1750</v>
      </c>
      <c r="E1438" s="7">
        <v>5618</v>
      </c>
      <c r="F1438" s="7" t="str">
        <f>"090205005"</f>
        <v>090205005</v>
      </c>
      <c r="H1438" s="7">
        <v>928</v>
      </c>
      <c r="I1438" s="11">
        <v>0.4</v>
      </c>
    </row>
    <row r="1439" spans="1:9">
      <c r="A1439" s="7" t="s">
        <v>1748</v>
      </c>
      <c r="B1439" s="7">
        <v>4391</v>
      </c>
      <c r="C1439" s="7" t="str">
        <f t="shared" si="64"/>
        <v>090205000</v>
      </c>
      <c r="D1439" s="7" t="s">
        <v>1751</v>
      </c>
      <c r="E1439" s="7">
        <v>5614</v>
      </c>
      <c r="F1439" s="7" t="str">
        <f>"090205001"</f>
        <v>090205001</v>
      </c>
      <c r="H1439" s="7">
        <v>429</v>
      </c>
      <c r="I1439" s="11">
        <v>0.53</v>
      </c>
    </row>
    <row r="1440" spans="1:9">
      <c r="A1440" s="7" t="s">
        <v>1748</v>
      </c>
      <c r="B1440" s="7">
        <v>4391</v>
      </c>
      <c r="C1440" s="7" t="str">
        <f t="shared" si="64"/>
        <v>090205000</v>
      </c>
      <c r="D1440" s="7" t="s">
        <v>1752</v>
      </c>
      <c r="E1440" s="7">
        <v>5616</v>
      </c>
      <c r="F1440" s="7" t="str">
        <f>"090205003"</f>
        <v>090205003</v>
      </c>
      <c r="H1440" s="7">
        <v>458</v>
      </c>
      <c r="I1440" s="11">
        <v>0.49</v>
      </c>
    </row>
    <row r="1441" spans="1:9">
      <c r="A1441" s="7" t="s">
        <v>1748</v>
      </c>
      <c r="B1441" s="7">
        <v>4391</v>
      </c>
      <c r="C1441" s="7" t="str">
        <f t="shared" si="64"/>
        <v>090205000</v>
      </c>
      <c r="D1441" s="7" t="s">
        <v>1753</v>
      </c>
      <c r="E1441" s="7">
        <v>5615</v>
      </c>
      <c r="F1441" s="7" t="str">
        <f>"090205002"</f>
        <v>090205002</v>
      </c>
      <c r="H1441" s="7">
        <v>292</v>
      </c>
      <c r="I1441" s="11">
        <v>0.54</v>
      </c>
    </row>
    <row r="1442" spans="1:9">
      <c r="A1442" s="7" t="s">
        <v>1748</v>
      </c>
      <c r="B1442" s="7">
        <v>4391</v>
      </c>
      <c r="C1442" s="7" t="str">
        <f t="shared" si="64"/>
        <v>090205000</v>
      </c>
      <c r="D1442" s="7" t="s">
        <v>1754</v>
      </c>
      <c r="E1442" s="7">
        <v>5617</v>
      </c>
      <c r="F1442" s="7" t="str">
        <f>"090205004"</f>
        <v>090205004</v>
      </c>
      <c r="H1442" s="7">
        <v>230</v>
      </c>
      <c r="I1442" s="11">
        <v>0.46</v>
      </c>
    </row>
    <row r="1443" spans="1:9">
      <c r="A1443" s="7" t="s">
        <v>1755</v>
      </c>
      <c r="B1443" s="7">
        <v>4222</v>
      </c>
      <c r="C1443" s="7" t="str">
        <f>"050305000"</f>
        <v>050305000</v>
      </c>
      <c r="D1443" s="7" t="s">
        <v>1756</v>
      </c>
      <c r="E1443" s="7">
        <v>4894</v>
      </c>
      <c r="F1443" s="7" t="str">
        <f>"050305101"</f>
        <v>050305101</v>
      </c>
      <c r="H1443" s="7">
        <v>179</v>
      </c>
      <c r="I1443" s="11">
        <v>0.8</v>
      </c>
    </row>
    <row r="1444" spans="1:9" ht="28.5">
      <c r="A1444" s="7" t="s">
        <v>1757</v>
      </c>
      <c r="B1444" s="7">
        <v>1000160</v>
      </c>
      <c r="C1444" s="7" t="str">
        <f>"078622000"</f>
        <v>078622000</v>
      </c>
      <c r="D1444" s="7" t="s">
        <v>1758</v>
      </c>
      <c r="E1444" s="7">
        <v>1000288</v>
      </c>
      <c r="F1444" s="7" t="str">
        <f>"078622101"</f>
        <v>078622101</v>
      </c>
      <c r="H1444" s="7">
        <v>173</v>
      </c>
      <c r="I1444" s="11">
        <v>0.65</v>
      </c>
    </row>
    <row r="1445" spans="1:9" ht="28.5">
      <c r="A1445" s="7" t="s">
        <v>1759</v>
      </c>
      <c r="B1445" s="7">
        <v>4500</v>
      </c>
      <c r="C1445" s="7" t="str">
        <f t="shared" ref="C1445:C1451" si="65">"140411000"</f>
        <v>140411000</v>
      </c>
      <c r="D1445" s="7" t="s">
        <v>1760</v>
      </c>
      <c r="E1445" s="7">
        <v>1001914</v>
      </c>
      <c r="F1445" s="7" t="str">
        <f>"140411109"</f>
        <v>140411109</v>
      </c>
      <c r="G1445" s="7" t="s">
        <v>16</v>
      </c>
      <c r="H1445" s="7">
        <v>226</v>
      </c>
      <c r="I1445" s="11">
        <v>0.88</v>
      </c>
    </row>
    <row r="1446" spans="1:9" ht="28.5">
      <c r="A1446" s="7" t="s">
        <v>1759</v>
      </c>
      <c r="B1446" s="7">
        <v>4500</v>
      </c>
      <c r="C1446" s="7" t="str">
        <f t="shared" si="65"/>
        <v>140411000</v>
      </c>
      <c r="D1446" s="7" t="s">
        <v>1761</v>
      </c>
      <c r="E1446" s="7">
        <v>6166</v>
      </c>
      <c r="F1446" s="7" t="str">
        <f>"140411103"</f>
        <v>140411103</v>
      </c>
      <c r="G1446" s="7" t="s">
        <v>16</v>
      </c>
      <c r="H1446" s="7">
        <v>397</v>
      </c>
      <c r="I1446" s="11" t="s">
        <v>17</v>
      </c>
    </row>
    <row r="1447" spans="1:9" ht="28.5">
      <c r="A1447" s="7" t="s">
        <v>1759</v>
      </c>
      <c r="B1447" s="7">
        <v>4500</v>
      </c>
      <c r="C1447" s="7" t="str">
        <f t="shared" si="65"/>
        <v>140411000</v>
      </c>
      <c r="D1447" s="7" t="s">
        <v>1762</v>
      </c>
      <c r="E1447" s="7">
        <v>87330</v>
      </c>
      <c r="F1447" s="7" t="str">
        <f>"140411105"</f>
        <v>140411105</v>
      </c>
      <c r="G1447" s="7" t="s">
        <v>16</v>
      </c>
      <c r="H1447" s="7">
        <v>425</v>
      </c>
      <c r="I1447" s="11" t="s">
        <v>17</v>
      </c>
    </row>
    <row r="1448" spans="1:9" ht="28.5">
      <c r="A1448" s="7" t="s">
        <v>1759</v>
      </c>
      <c r="B1448" s="7">
        <v>4500</v>
      </c>
      <c r="C1448" s="7" t="str">
        <f t="shared" si="65"/>
        <v>140411000</v>
      </c>
      <c r="D1448" s="7" t="s">
        <v>1763</v>
      </c>
      <c r="E1448" s="7">
        <v>6165</v>
      </c>
      <c r="F1448" s="7" t="str">
        <f>"140411102"</f>
        <v>140411102</v>
      </c>
      <c r="G1448" s="7" t="s">
        <v>16</v>
      </c>
      <c r="H1448" s="7">
        <v>411</v>
      </c>
      <c r="I1448" s="11" t="s">
        <v>17</v>
      </c>
    </row>
    <row r="1449" spans="1:9" ht="28.5">
      <c r="A1449" s="7" t="s">
        <v>1759</v>
      </c>
      <c r="B1449" s="7">
        <v>4500</v>
      </c>
      <c r="C1449" s="7" t="str">
        <f t="shared" si="65"/>
        <v>140411000</v>
      </c>
      <c r="D1449" s="7" t="s">
        <v>1764</v>
      </c>
      <c r="E1449" s="7">
        <v>6164</v>
      </c>
      <c r="F1449" s="7" t="str">
        <f>"140411101"</f>
        <v>140411101</v>
      </c>
      <c r="G1449" s="7" t="s">
        <v>16</v>
      </c>
      <c r="H1449" s="7">
        <v>650</v>
      </c>
      <c r="I1449" s="11">
        <v>0.88</v>
      </c>
    </row>
    <row r="1450" spans="1:9" ht="28.5">
      <c r="A1450" s="7" t="s">
        <v>1759</v>
      </c>
      <c r="B1450" s="7">
        <v>4500</v>
      </c>
      <c r="C1450" s="7" t="str">
        <f t="shared" si="65"/>
        <v>140411000</v>
      </c>
      <c r="D1450" s="7" t="s">
        <v>1454</v>
      </c>
      <c r="E1450" s="7">
        <v>1001915</v>
      </c>
      <c r="F1450" s="7" t="str">
        <f>"140411110"</f>
        <v>140411110</v>
      </c>
      <c r="G1450" s="7" t="s">
        <v>16</v>
      </c>
      <c r="H1450" s="7">
        <v>245</v>
      </c>
      <c r="I1450" s="11">
        <v>0.76</v>
      </c>
    </row>
    <row r="1451" spans="1:9" ht="28.5">
      <c r="A1451" s="7" t="s">
        <v>1759</v>
      </c>
      <c r="B1451" s="7">
        <v>4500</v>
      </c>
      <c r="C1451" s="7" t="str">
        <f t="shared" si="65"/>
        <v>140411000</v>
      </c>
      <c r="D1451" s="7" t="s">
        <v>1765</v>
      </c>
      <c r="E1451" s="7">
        <v>6167</v>
      </c>
      <c r="F1451" s="7" t="str">
        <f>"140411104"</f>
        <v>140411104</v>
      </c>
      <c r="G1451" s="7" t="s">
        <v>16</v>
      </c>
      <c r="H1451" s="7">
        <v>684</v>
      </c>
      <c r="I1451" s="11">
        <v>0.83</v>
      </c>
    </row>
    <row r="1452" spans="1:9">
      <c r="A1452" s="7" t="s">
        <v>1766</v>
      </c>
      <c r="B1452" s="7">
        <v>4461</v>
      </c>
      <c r="C1452" s="7" t="str">
        <f>"120425000"</f>
        <v>120425000</v>
      </c>
      <c r="D1452" s="7" t="s">
        <v>1767</v>
      </c>
      <c r="E1452" s="7">
        <v>5970</v>
      </c>
      <c r="F1452" s="7" t="str">
        <f>"120425101"</f>
        <v>120425101</v>
      </c>
      <c r="H1452" s="7">
        <v>133</v>
      </c>
      <c r="I1452" s="11">
        <v>0.33</v>
      </c>
    </row>
    <row r="1453" spans="1:9" ht="28.5">
      <c r="A1453" s="7" t="s">
        <v>1768</v>
      </c>
      <c r="B1453" s="7">
        <v>79085</v>
      </c>
      <c r="C1453" s="7" t="str">
        <f>"108779000"</f>
        <v>108779000</v>
      </c>
      <c r="D1453" s="7" t="s">
        <v>1769</v>
      </c>
      <c r="E1453" s="7">
        <v>79091</v>
      </c>
      <c r="F1453" s="7" t="str">
        <f>"108779101"</f>
        <v>108779101</v>
      </c>
      <c r="G1453" s="7" t="s">
        <v>16</v>
      </c>
      <c r="H1453" s="7">
        <v>485</v>
      </c>
      <c r="I1453" s="11" t="s">
        <v>17</v>
      </c>
    </row>
    <row r="1454" spans="1:9" ht="28.5">
      <c r="A1454" s="7" t="s">
        <v>1770</v>
      </c>
      <c r="B1454" s="7">
        <v>7347</v>
      </c>
      <c r="C1454" s="7" t="str">
        <f>"072146000"</f>
        <v>072146000</v>
      </c>
      <c r="D1454" s="7" t="s">
        <v>1771</v>
      </c>
      <c r="E1454" s="7">
        <v>1000408</v>
      </c>
      <c r="F1454" s="7" t="str">
        <f>"072146016"</f>
        <v>072146016</v>
      </c>
      <c r="G1454" s="7" t="s">
        <v>16</v>
      </c>
      <c r="H1454" s="7">
        <v>37</v>
      </c>
      <c r="I1454" s="11" t="s">
        <v>17</v>
      </c>
    </row>
    <row r="1455" spans="1:9" ht="28.5">
      <c r="A1455" s="7" t="s">
        <v>1770</v>
      </c>
      <c r="B1455" s="7">
        <v>7347</v>
      </c>
      <c r="C1455" s="7" t="str">
        <f>"072146000"</f>
        <v>072146000</v>
      </c>
      <c r="D1455" s="7" t="s">
        <v>1772</v>
      </c>
      <c r="E1455" s="7">
        <v>91270</v>
      </c>
      <c r="F1455" s="7" t="str">
        <f>"072146005"</f>
        <v>072146005</v>
      </c>
      <c r="G1455" s="7" t="s">
        <v>16</v>
      </c>
      <c r="H1455" s="7">
        <v>59</v>
      </c>
      <c r="I1455" s="11">
        <v>0.65</v>
      </c>
    </row>
    <row r="1456" spans="1:9" ht="28.5">
      <c r="A1456" s="7" t="s">
        <v>1770</v>
      </c>
      <c r="B1456" s="7">
        <v>7347</v>
      </c>
      <c r="C1456" s="7" t="str">
        <f>"072146000"</f>
        <v>072146000</v>
      </c>
      <c r="D1456" s="7" t="s">
        <v>1770</v>
      </c>
      <c r="E1456" s="7">
        <v>7349</v>
      </c>
      <c r="F1456" s="7" t="str">
        <f>"072146002"</f>
        <v>072146002</v>
      </c>
      <c r="G1456" s="7" t="s">
        <v>16</v>
      </c>
      <c r="H1456" s="7">
        <v>46</v>
      </c>
      <c r="I1456" s="11">
        <v>0.64</v>
      </c>
    </row>
    <row r="1457" spans="1:9">
      <c r="A1457" s="7" t="s">
        <v>1773</v>
      </c>
      <c r="B1457" s="7">
        <v>87694</v>
      </c>
      <c r="C1457" s="7" t="str">
        <f t="shared" ref="C1457:C1464" si="66">"072781000"</f>
        <v>072781000</v>
      </c>
      <c r="D1457" s="7" t="s">
        <v>1774</v>
      </c>
      <c r="E1457" s="7">
        <v>92672</v>
      </c>
      <c r="F1457" s="7" t="str">
        <f>"072781005"</f>
        <v>072781005</v>
      </c>
      <c r="H1457" s="7">
        <v>234</v>
      </c>
      <c r="I1457" s="11" t="s">
        <v>17</v>
      </c>
    </row>
    <row r="1458" spans="1:9">
      <c r="A1458" s="7" t="s">
        <v>1773</v>
      </c>
      <c r="B1458" s="7">
        <v>87694</v>
      </c>
      <c r="C1458" s="7" t="str">
        <f t="shared" si="66"/>
        <v>072781000</v>
      </c>
      <c r="D1458" s="7" t="s">
        <v>1775</v>
      </c>
      <c r="E1458" s="7">
        <v>89946</v>
      </c>
      <c r="F1458" s="7" t="str">
        <f>"072781003"</f>
        <v>072781003</v>
      </c>
      <c r="H1458" s="7">
        <v>61</v>
      </c>
      <c r="I1458" s="11" t="s">
        <v>17</v>
      </c>
    </row>
    <row r="1459" spans="1:9" ht="28.5">
      <c r="A1459" s="7" t="s">
        <v>1773</v>
      </c>
      <c r="B1459" s="7">
        <v>87694</v>
      </c>
      <c r="C1459" s="7" t="str">
        <f t="shared" si="66"/>
        <v>072781000</v>
      </c>
      <c r="D1459" s="7" t="s">
        <v>1776</v>
      </c>
      <c r="E1459" s="7">
        <v>92288</v>
      </c>
      <c r="F1459" s="7" t="str">
        <f>"072781004"</f>
        <v>072781004</v>
      </c>
      <c r="H1459" s="7">
        <v>121</v>
      </c>
      <c r="I1459" s="11" t="s">
        <v>17</v>
      </c>
    </row>
    <row r="1460" spans="1:9" ht="28.5">
      <c r="A1460" s="7" t="s">
        <v>1773</v>
      </c>
      <c r="B1460" s="7">
        <v>87694</v>
      </c>
      <c r="C1460" s="7" t="str">
        <f t="shared" si="66"/>
        <v>072781000</v>
      </c>
      <c r="D1460" s="7" t="s">
        <v>1777</v>
      </c>
      <c r="E1460" s="7">
        <v>87695</v>
      </c>
      <c r="F1460" s="7" t="str">
        <f>"072781001"</f>
        <v>072781001</v>
      </c>
      <c r="H1460" s="7">
        <v>18</v>
      </c>
      <c r="I1460" s="11" t="s">
        <v>17</v>
      </c>
    </row>
    <row r="1461" spans="1:9" ht="28.5">
      <c r="A1461" s="7" t="s">
        <v>1773</v>
      </c>
      <c r="B1461" s="7">
        <v>87694</v>
      </c>
      <c r="C1461" s="7" t="str">
        <f t="shared" si="66"/>
        <v>072781000</v>
      </c>
      <c r="D1461" s="7" t="s">
        <v>1778</v>
      </c>
      <c r="E1461" s="7">
        <v>92697</v>
      </c>
      <c r="F1461" s="7" t="str">
        <f>"072781007"</f>
        <v>072781007</v>
      </c>
      <c r="H1461" s="7">
        <v>297</v>
      </c>
      <c r="I1461" s="11" t="s">
        <v>17</v>
      </c>
    </row>
    <row r="1462" spans="1:9" ht="28.5">
      <c r="A1462" s="7" t="s">
        <v>1773</v>
      </c>
      <c r="B1462" s="7">
        <v>87694</v>
      </c>
      <c r="C1462" s="7" t="str">
        <f t="shared" si="66"/>
        <v>072781000</v>
      </c>
      <c r="D1462" s="7" t="s">
        <v>1779</v>
      </c>
      <c r="E1462" s="7">
        <v>967958</v>
      </c>
      <c r="F1462" s="7" t="str">
        <f>"072781008"</f>
        <v>072781008</v>
      </c>
      <c r="H1462" s="7">
        <v>223</v>
      </c>
      <c r="I1462" s="11" t="s">
        <v>17</v>
      </c>
    </row>
    <row r="1463" spans="1:9" ht="28.5">
      <c r="A1463" s="7" t="s">
        <v>1773</v>
      </c>
      <c r="B1463" s="7">
        <v>87694</v>
      </c>
      <c r="C1463" s="7" t="str">
        <f t="shared" si="66"/>
        <v>072781000</v>
      </c>
      <c r="D1463" s="7" t="s">
        <v>1780</v>
      </c>
      <c r="E1463" s="7">
        <v>92673</v>
      </c>
      <c r="F1463" s="7" t="str">
        <f>"072781006"</f>
        <v>072781006</v>
      </c>
      <c r="H1463" s="7">
        <v>87</v>
      </c>
      <c r="I1463" s="11" t="s">
        <v>17</v>
      </c>
    </row>
    <row r="1464" spans="1:9" ht="28.5">
      <c r="A1464" s="7" t="s">
        <v>1773</v>
      </c>
      <c r="B1464" s="7">
        <v>87694</v>
      </c>
      <c r="C1464" s="7" t="str">
        <f t="shared" si="66"/>
        <v>072781000</v>
      </c>
      <c r="D1464" s="7" t="s">
        <v>1781</v>
      </c>
      <c r="E1464" s="7">
        <v>87696</v>
      </c>
      <c r="F1464" s="7" t="str">
        <f>"072781002"</f>
        <v>072781002</v>
      </c>
      <c r="H1464" s="7">
        <v>59</v>
      </c>
      <c r="I1464" s="11" t="s">
        <v>17</v>
      </c>
    </row>
    <row r="1465" spans="1:9" ht="28.5">
      <c r="A1465" s="7" t="s">
        <v>1782</v>
      </c>
      <c r="B1465" s="7">
        <v>92043</v>
      </c>
      <c r="C1465" s="7" t="str">
        <f>"078228000"</f>
        <v>078228000</v>
      </c>
      <c r="D1465" s="7" t="s">
        <v>1782</v>
      </c>
      <c r="E1465" s="7">
        <v>92044</v>
      </c>
      <c r="F1465" s="7" t="str">
        <f>"078228001"</f>
        <v>078228001</v>
      </c>
      <c r="G1465" s="7" t="s">
        <v>16</v>
      </c>
      <c r="H1465" s="7">
        <v>174</v>
      </c>
      <c r="I1465" s="11">
        <v>0.75</v>
      </c>
    </row>
    <row r="1466" spans="1:9">
      <c r="A1466" s="7" t="s">
        <v>1783</v>
      </c>
      <c r="B1466" s="7">
        <v>4173</v>
      </c>
      <c r="C1466" s="7" t="str">
        <f>"020221000"</f>
        <v>020221000</v>
      </c>
      <c r="D1466" s="7" t="s">
        <v>1784</v>
      </c>
      <c r="E1466" s="7">
        <v>4761</v>
      </c>
      <c r="F1466" s="7" t="str">
        <f>"020221101"</f>
        <v>020221101</v>
      </c>
      <c r="H1466" s="7">
        <v>282</v>
      </c>
      <c r="I1466" s="11">
        <v>0.52</v>
      </c>
    </row>
    <row r="1467" spans="1:9">
      <c r="A1467" s="7" t="s">
        <v>1783</v>
      </c>
      <c r="B1467" s="7">
        <v>4173</v>
      </c>
      <c r="C1467" s="7" t="str">
        <f>"020221000"</f>
        <v>020221000</v>
      </c>
      <c r="D1467" s="7" t="s">
        <v>1785</v>
      </c>
      <c r="E1467" s="7">
        <v>4762</v>
      </c>
      <c r="F1467" s="7" t="str">
        <f>"020221202"</f>
        <v>020221202</v>
      </c>
      <c r="H1467" s="7">
        <v>140</v>
      </c>
      <c r="I1467" s="11">
        <v>0.49</v>
      </c>
    </row>
    <row r="1468" spans="1:9">
      <c r="A1468" s="7" t="s">
        <v>1786</v>
      </c>
      <c r="B1468" s="7">
        <v>4153</v>
      </c>
      <c r="C1468" s="7" t="str">
        <f>"010201000"</f>
        <v>010201000</v>
      </c>
      <c r="D1468" s="7" t="s">
        <v>833</v>
      </c>
      <c r="E1468" s="7">
        <v>4517</v>
      </c>
      <c r="F1468" s="7" t="str">
        <f>"010201102"</f>
        <v>010201102</v>
      </c>
      <c r="H1468" s="7">
        <v>245</v>
      </c>
      <c r="I1468" s="11">
        <v>0.56999999999999995</v>
      </c>
    </row>
    <row r="1469" spans="1:9">
      <c r="A1469" s="7" t="s">
        <v>1786</v>
      </c>
      <c r="B1469" s="7">
        <v>4153</v>
      </c>
      <c r="C1469" s="7" t="str">
        <f>"010201000"</f>
        <v>010201000</v>
      </c>
      <c r="D1469" s="7" t="s">
        <v>1787</v>
      </c>
      <c r="E1469" s="7">
        <v>4711</v>
      </c>
      <c r="F1469" s="7" t="str">
        <f>"010201205"</f>
        <v>010201205</v>
      </c>
      <c r="H1469" s="7">
        <v>333</v>
      </c>
      <c r="I1469" s="11">
        <v>0.45</v>
      </c>
    </row>
    <row r="1470" spans="1:9">
      <c r="A1470" s="7" t="s">
        <v>1786</v>
      </c>
      <c r="B1470" s="7">
        <v>4153</v>
      </c>
      <c r="C1470" s="7" t="str">
        <f>"010201000"</f>
        <v>010201000</v>
      </c>
      <c r="D1470" s="7" t="s">
        <v>1788</v>
      </c>
      <c r="E1470" s="7">
        <v>4710</v>
      </c>
      <c r="F1470" s="7" t="str">
        <f>"010201104"</f>
        <v>010201104</v>
      </c>
      <c r="H1470" s="7">
        <v>328</v>
      </c>
      <c r="I1470" s="11">
        <v>0.51</v>
      </c>
    </row>
    <row r="1471" spans="1:9">
      <c r="A1471" s="7" t="s">
        <v>1789</v>
      </c>
      <c r="B1471" s="7">
        <v>88412</v>
      </c>
      <c r="C1471" s="7" t="str">
        <f>"072034000"</f>
        <v>072034000</v>
      </c>
      <c r="D1471" s="7" t="s">
        <v>1789</v>
      </c>
      <c r="E1471" s="7">
        <v>88413</v>
      </c>
      <c r="F1471" s="7" t="str">
        <f>"072034101"</f>
        <v>072034101</v>
      </c>
      <c r="H1471" s="7">
        <v>137</v>
      </c>
      <c r="I1471" s="11">
        <v>0.86</v>
      </c>
    </row>
    <row r="1472" spans="1:9">
      <c r="A1472" s="7" t="s">
        <v>1790</v>
      </c>
      <c r="B1472" s="7">
        <v>92206</v>
      </c>
      <c r="C1472" s="7" t="str">
        <f>"131912000"</f>
        <v>131912000</v>
      </c>
      <c r="D1472" s="7" t="s">
        <v>1790</v>
      </c>
      <c r="E1472" s="7">
        <v>92207</v>
      </c>
      <c r="F1472" s="7" t="str">
        <f>"131912001"</f>
        <v>131912001</v>
      </c>
      <c r="H1472" s="7">
        <v>225</v>
      </c>
      <c r="I1472" s="11">
        <v>0.59</v>
      </c>
    </row>
    <row r="1473" spans="1:9" ht="28.5">
      <c r="A1473" s="7" t="s">
        <v>1791</v>
      </c>
      <c r="B1473" s="7">
        <v>80170</v>
      </c>
      <c r="C1473" s="7" t="str">
        <f>"112002000"</f>
        <v>112002000</v>
      </c>
      <c r="D1473" s="7" t="s">
        <v>1791</v>
      </c>
      <c r="E1473" s="7">
        <v>80171</v>
      </c>
      <c r="F1473" s="7" t="str">
        <f>"112002001"</f>
        <v>112002001</v>
      </c>
      <c r="H1473" s="7">
        <v>181</v>
      </c>
      <c r="I1473" s="11">
        <v>0.97</v>
      </c>
    </row>
    <row r="1474" spans="1:9" ht="28.5">
      <c r="A1474" s="7" t="s">
        <v>1792</v>
      </c>
      <c r="B1474" s="7">
        <v>89301</v>
      </c>
      <c r="C1474" s="7" t="str">
        <f>"042003000"</f>
        <v>042003000</v>
      </c>
      <c r="D1474" s="7" t="s">
        <v>1792</v>
      </c>
      <c r="E1474" s="7">
        <v>89302</v>
      </c>
      <c r="F1474" s="7" t="str">
        <f>"042003001"</f>
        <v>042003001</v>
      </c>
      <c r="G1474" s="7" t="s">
        <v>16</v>
      </c>
      <c r="H1474" s="7">
        <v>213</v>
      </c>
      <c r="I1474" s="11">
        <v>0.81</v>
      </c>
    </row>
    <row r="1475" spans="1:9">
      <c r="A1475" s="7" t="s">
        <v>1793</v>
      </c>
      <c r="B1475" s="7">
        <v>80178</v>
      </c>
      <c r="C1475" s="7" t="str">
        <f>"102004000"</f>
        <v>102004000</v>
      </c>
      <c r="D1475" s="7" t="s">
        <v>1794</v>
      </c>
      <c r="E1475" s="7">
        <v>80179</v>
      </c>
      <c r="F1475" s="7" t="str">
        <f>"102004001"</f>
        <v>102004001</v>
      </c>
      <c r="H1475" s="7">
        <v>392</v>
      </c>
      <c r="I1475" s="11">
        <v>0.89</v>
      </c>
    </row>
    <row r="1476" spans="1:9">
      <c r="A1476" s="7" t="s">
        <v>1795</v>
      </c>
      <c r="B1476" s="7">
        <v>91814</v>
      </c>
      <c r="C1476" s="7" t="str">
        <f>"072094000"</f>
        <v>072094000</v>
      </c>
      <c r="D1476" s="7" t="s">
        <v>1795</v>
      </c>
      <c r="E1476" s="7">
        <v>91849</v>
      </c>
      <c r="F1476" s="7" t="str">
        <f>"072094001"</f>
        <v>072094001</v>
      </c>
      <c r="H1476" s="7">
        <v>209</v>
      </c>
      <c r="I1476" s="11">
        <v>0.9</v>
      </c>
    </row>
    <row r="1477" spans="1:9">
      <c r="A1477" s="7" t="s">
        <v>1796</v>
      </c>
      <c r="B1477" s="7">
        <v>80190</v>
      </c>
      <c r="C1477" s="7" t="str">
        <f>"012003000"</f>
        <v>012003000</v>
      </c>
      <c r="D1477" s="7" t="s">
        <v>1797</v>
      </c>
      <c r="E1477" s="7">
        <v>80191</v>
      </c>
      <c r="F1477" s="7" t="str">
        <f>"012003001"</f>
        <v>012003001</v>
      </c>
      <c r="G1477" s="7" t="s">
        <v>1147</v>
      </c>
      <c r="H1477" s="7">
        <v>314</v>
      </c>
      <c r="I1477" s="11">
        <v>0.62</v>
      </c>
    </row>
    <row r="1478" spans="1:9" ht="28.5">
      <c r="A1478" s="7" t="s">
        <v>1798</v>
      </c>
      <c r="B1478" s="7">
        <v>80192</v>
      </c>
      <c r="C1478" s="7" t="str">
        <f>"112001000"</f>
        <v>112001000</v>
      </c>
      <c r="D1478" s="7" t="s">
        <v>1798</v>
      </c>
      <c r="E1478" s="7">
        <v>80193</v>
      </c>
      <c r="F1478" s="7" t="str">
        <f>"112001001"</f>
        <v>112001001</v>
      </c>
      <c r="G1478" s="7" t="s">
        <v>16</v>
      </c>
      <c r="H1478" s="7">
        <v>199</v>
      </c>
      <c r="I1478" s="11" t="s">
        <v>17</v>
      </c>
    </row>
    <row r="1479" spans="1:9">
      <c r="A1479" s="7" t="s">
        <v>1799</v>
      </c>
      <c r="B1479" s="7">
        <v>80194</v>
      </c>
      <c r="C1479" s="7" t="str">
        <f>"072017000"</f>
        <v>072017000</v>
      </c>
      <c r="D1479" s="7" t="s">
        <v>1799</v>
      </c>
      <c r="E1479" s="7">
        <v>80195</v>
      </c>
      <c r="F1479" s="7" t="str">
        <f>"072017001"</f>
        <v>072017001</v>
      </c>
      <c r="H1479" s="7">
        <v>551</v>
      </c>
      <c r="I1479" s="11">
        <v>0.1</v>
      </c>
    </row>
    <row r="1480" spans="1:9" ht="28.5">
      <c r="A1480" s="7" t="s">
        <v>1800</v>
      </c>
      <c r="B1480" s="7">
        <v>4451</v>
      </c>
      <c r="C1480" s="7" t="str">
        <f>"110424000"</f>
        <v>110424000</v>
      </c>
      <c r="D1480" s="7" t="s">
        <v>1801</v>
      </c>
      <c r="E1480" s="7">
        <v>5946</v>
      </c>
      <c r="F1480" s="7" t="str">
        <f>"110424001"</f>
        <v>110424001</v>
      </c>
      <c r="G1480" s="7" t="s">
        <v>16</v>
      </c>
      <c r="H1480" s="7">
        <v>393</v>
      </c>
      <c r="I1480" s="11">
        <v>0.84</v>
      </c>
    </row>
    <row r="1481" spans="1:9" ht="28.5">
      <c r="A1481" s="7" t="s">
        <v>1802</v>
      </c>
      <c r="B1481" s="7">
        <v>4313</v>
      </c>
      <c r="C1481" s="7" t="str">
        <f>"078634000"</f>
        <v>078634000</v>
      </c>
      <c r="D1481" s="7" t="s">
        <v>1803</v>
      </c>
      <c r="E1481" s="7">
        <v>91788</v>
      </c>
      <c r="F1481" s="7" t="str">
        <f>"078634202"</f>
        <v>078634202</v>
      </c>
      <c r="G1481" s="7" t="s">
        <v>16</v>
      </c>
      <c r="H1481" s="7">
        <v>71</v>
      </c>
      <c r="I1481" s="11">
        <v>0.93</v>
      </c>
    </row>
    <row r="1482" spans="1:9" ht="28.5">
      <c r="A1482" s="7" t="s">
        <v>1804</v>
      </c>
      <c r="B1482" s="7">
        <v>91992</v>
      </c>
      <c r="C1482" s="7" t="str">
        <f>"108227000"</f>
        <v>108227000</v>
      </c>
      <c r="D1482" s="7" t="s">
        <v>1805</v>
      </c>
      <c r="E1482" s="7">
        <v>92497</v>
      </c>
      <c r="F1482" s="7" t="str">
        <f>"108227001"</f>
        <v>108227001</v>
      </c>
      <c r="G1482" s="7" t="s">
        <v>16</v>
      </c>
      <c r="H1482" s="7">
        <v>47</v>
      </c>
      <c r="I1482" s="11" t="s">
        <v>17</v>
      </c>
    </row>
    <row r="1483" spans="1:9">
      <c r="A1483" s="7" t="s">
        <v>1806</v>
      </c>
      <c r="B1483" s="7">
        <v>79453</v>
      </c>
      <c r="C1483" s="7" t="str">
        <f>"078924000"</f>
        <v>078924000</v>
      </c>
      <c r="D1483" s="7" t="s">
        <v>1807</v>
      </c>
      <c r="E1483" s="7">
        <v>79454</v>
      </c>
      <c r="F1483" s="7" t="str">
        <f>"078924001"</f>
        <v>078924001</v>
      </c>
      <c r="H1483" s="7">
        <v>1003</v>
      </c>
      <c r="I1483" s="11">
        <v>0.73</v>
      </c>
    </row>
    <row r="1484" spans="1:9">
      <c r="A1484" s="7" t="s">
        <v>1808</v>
      </c>
      <c r="B1484" s="7">
        <v>90192</v>
      </c>
      <c r="C1484" s="7" t="str">
        <f>"078556000"</f>
        <v>078556000</v>
      </c>
      <c r="D1484" s="7" t="s">
        <v>1809</v>
      </c>
      <c r="E1484" s="7">
        <v>90193</v>
      </c>
      <c r="F1484" s="7" t="str">
        <f>"078556001"</f>
        <v>078556001</v>
      </c>
      <c r="H1484" s="7">
        <v>593</v>
      </c>
      <c r="I1484" s="11">
        <v>0.76</v>
      </c>
    </row>
    <row r="1485" spans="1:9">
      <c r="A1485" s="7" t="s">
        <v>1808</v>
      </c>
      <c r="B1485" s="7">
        <v>90192</v>
      </c>
      <c r="C1485" s="7" t="str">
        <f>"078556000"</f>
        <v>078556000</v>
      </c>
      <c r="D1485" s="7" t="s">
        <v>1810</v>
      </c>
      <c r="E1485" s="7">
        <v>1000606</v>
      </c>
      <c r="F1485" s="7" t="str">
        <f>"078640001"</f>
        <v>078640001</v>
      </c>
      <c r="H1485" s="7">
        <v>438</v>
      </c>
      <c r="I1485" s="11">
        <v>0.55000000000000004</v>
      </c>
    </row>
    <row r="1486" spans="1:9">
      <c r="A1486" s="7" t="s">
        <v>1811</v>
      </c>
      <c r="B1486" s="7">
        <v>4407</v>
      </c>
      <c r="C1486" s="7" t="str">
        <f t="shared" ref="C1486:C1506" si="67">"100212000"</f>
        <v>100212000</v>
      </c>
      <c r="D1486" s="7" t="s">
        <v>1812</v>
      </c>
      <c r="E1486" s="7">
        <v>5809</v>
      </c>
      <c r="F1486" s="7" t="str">
        <f>"100212106"</f>
        <v>100212106</v>
      </c>
      <c r="H1486" s="7">
        <v>504</v>
      </c>
      <c r="I1486" s="11">
        <v>0.88</v>
      </c>
    </row>
    <row r="1487" spans="1:9">
      <c r="A1487" s="7" t="s">
        <v>1811</v>
      </c>
      <c r="B1487" s="7">
        <v>4407</v>
      </c>
      <c r="C1487" s="7" t="str">
        <f t="shared" si="67"/>
        <v>100212000</v>
      </c>
      <c r="D1487" s="7" t="s">
        <v>1813</v>
      </c>
      <c r="E1487" s="7">
        <v>87532</v>
      </c>
      <c r="F1487" s="7" t="str">
        <f>"100212133"</f>
        <v>100212133</v>
      </c>
      <c r="H1487" s="7">
        <v>450</v>
      </c>
      <c r="I1487" s="11">
        <v>0.81</v>
      </c>
    </row>
    <row r="1488" spans="1:9">
      <c r="A1488" s="7" t="s">
        <v>1811</v>
      </c>
      <c r="B1488" s="7">
        <v>4407</v>
      </c>
      <c r="C1488" s="7" t="str">
        <f t="shared" si="67"/>
        <v>100212000</v>
      </c>
      <c r="D1488" s="7" t="s">
        <v>768</v>
      </c>
      <c r="E1488" s="7">
        <v>5824</v>
      </c>
      <c r="F1488" s="7" t="str">
        <f>"100212132"</f>
        <v>100212132</v>
      </c>
      <c r="H1488" s="7">
        <v>595</v>
      </c>
      <c r="I1488" s="11">
        <v>0.89</v>
      </c>
    </row>
    <row r="1489" spans="1:9">
      <c r="A1489" s="7" t="s">
        <v>1811</v>
      </c>
      <c r="B1489" s="7">
        <v>4407</v>
      </c>
      <c r="C1489" s="7" t="str">
        <f t="shared" si="67"/>
        <v>100212000</v>
      </c>
      <c r="D1489" s="7" t="s">
        <v>1814</v>
      </c>
      <c r="E1489" s="7">
        <v>5810</v>
      </c>
      <c r="F1489" s="7" t="str">
        <f>"100212108"</f>
        <v>100212108</v>
      </c>
      <c r="H1489" s="7">
        <v>598</v>
      </c>
      <c r="I1489" s="11">
        <v>0.84</v>
      </c>
    </row>
    <row r="1490" spans="1:9">
      <c r="A1490" s="7" t="s">
        <v>1811</v>
      </c>
      <c r="B1490" s="7">
        <v>4407</v>
      </c>
      <c r="C1490" s="7" t="str">
        <f t="shared" si="67"/>
        <v>100212000</v>
      </c>
      <c r="D1490" s="7" t="s">
        <v>1815</v>
      </c>
      <c r="E1490" s="7">
        <v>5826</v>
      </c>
      <c r="F1490" s="7" t="str">
        <f>"100212211"</f>
        <v>100212211</v>
      </c>
      <c r="H1490" s="7">
        <v>2186</v>
      </c>
      <c r="I1490" s="11">
        <v>0.76</v>
      </c>
    </row>
    <row r="1491" spans="1:9">
      <c r="A1491" s="7" t="s">
        <v>1811</v>
      </c>
      <c r="B1491" s="7">
        <v>4407</v>
      </c>
      <c r="C1491" s="7" t="str">
        <f t="shared" si="67"/>
        <v>100212000</v>
      </c>
      <c r="D1491" s="7" t="s">
        <v>1816</v>
      </c>
      <c r="E1491" s="7">
        <v>5812</v>
      </c>
      <c r="F1491" s="7" t="str">
        <f>"100212112"</f>
        <v>100212112</v>
      </c>
      <c r="H1491" s="7">
        <v>498</v>
      </c>
      <c r="I1491" s="11">
        <v>0.96</v>
      </c>
    </row>
    <row r="1492" spans="1:9">
      <c r="A1492" s="7" t="s">
        <v>1811</v>
      </c>
      <c r="B1492" s="7">
        <v>4407</v>
      </c>
      <c r="C1492" s="7" t="str">
        <f t="shared" si="67"/>
        <v>100212000</v>
      </c>
      <c r="D1492" s="7" t="s">
        <v>1817</v>
      </c>
      <c r="E1492" s="7">
        <v>5813</v>
      </c>
      <c r="F1492" s="7" t="str">
        <f>"100212114"</f>
        <v>100212114</v>
      </c>
      <c r="H1492" s="7">
        <v>657</v>
      </c>
      <c r="I1492" s="11">
        <v>0.86</v>
      </c>
    </row>
    <row r="1493" spans="1:9">
      <c r="A1493" s="7" t="s">
        <v>1811</v>
      </c>
      <c r="B1493" s="7">
        <v>4407</v>
      </c>
      <c r="C1493" s="7" t="str">
        <f t="shared" si="67"/>
        <v>100212000</v>
      </c>
      <c r="D1493" s="7" t="s">
        <v>501</v>
      </c>
      <c r="E1493" s="7">
        <v>5814</v>
      </c>
      <c r="F1493" s="7" t="str">
        <f>"100212115"</f>
        <v>100212115</v>
      </c>
      <c r="H1493" s="7">
        <v>464</v>
      </c>
      <c r="I1493" s="11">
        <v>0.89</v>
      </c>
    </row>
    <row r="1494" spans="1:9" ht="28.5">
      <c r="A1494" s="7" t="s">
        <v>1811</v>
      </c>
      <c r="B1494" s="7">
        <v>4407</v>
      </c>
      <c r="C1494" s="7" t="str">
        <f t="shared" si="67"/>
        <v>100212000</v>
      </c>
      <c r="D1494" s="7" t="s">
        <v>1818</v>
      </c>
      <c r="E1494" s="7">
        <v>92770</v>
      </c>
      <c r="F1494" s="7" t="str">
        <f>"100212105"</f>
        <v>100212105</v>
      </c>
      <c r="H1494" s="7">
        <v>777</v>
      </c>
      <c r="I1494" s="11">
        <v>0.73</v>
      </c>
    </row>
    <row r="1495" spans="1:9">
      <c r="A1495" s="7" t="s">
        <v>1811</v>
      </c>
      <c r="B1495" s="7">
        <v>4407</v>
      </c>
      <c r="C1495" s="7" t="str">
        <f t="shared" si="67"/>
        <v>100212000</v>
      </c>
      <c r="D1495" s="7" t="s">
        <v>1819</v>
      </c>
      <c r="E1495" s="7">
        <v>5816</v>
      </c>
      <c r="F1495" s="7" t="str">
        <f>"100212117"</f>
        <v>100212117</v>
      </c>
      <c r="H1495" s="7">
        <v>526</v>
      </c>
      <c r="I1495" s="11">
        <v>0.78</v>
      </c>
    </row>
    <row r="1496" spans="1:9">
      <c r="A1496" s="7" t="s">
        <v>1811</v>
      </c>
      <c r="B1496" s="7">
        <v>4407</v>
      </c>
      <c r="C1496" s="7" t="str">
        <f t="shared" si="67"/>
        <v>100212000</v>
      </c>
      <c r="D1496" s="7" t="s">
        <v>1057</v>
      </c>
      <c r="E1496" s="7">
        <v>5815</v>
      </c>
      <c r="F1496" s="7" t="str">
        <f>"100212116"</f>
        <v>100212116</v>
      </c>
      <c r="H1496" s="7">
        <v>526</v>
      </c>
      <c r="I1496" s="11">
        <v>0.86</v>
      </c>
    </row>
    <row r="1497" spans="1:9">
      <c r="A1497" s="7" t="s">
        <v>1811</v>
      </c>
      <c r="B1497" s="7">
        <v>4407</v>
      </c>
      <c r="C1497" s="7" t="str">
        <f t="shared" si="67"/>
        <v>100212000</v>
      </c>
      <c r="D1497" s="7" t="s">
        <v>1820</v>
      </c>
      <c r="E1497" s="7">
        <v>5818</v>
      </c>
      <c r="F1497" s="7" t="str">
        <f>"100212119"</f>
        <v>100212119</v>
      </c>
      <c r="H1497" s="7">
        <v>619</v>
      </c>
      <c r="I1497" s="11">
        <v>0.89</v>
      </c>
    </row>
    <row r="1498" spans="1:9">
      <c r="A1498" s="7" t="s">
        <v>1811</v>
      </c>
      <c r="B1498" s="7">
        <v>4407</v>
      </c>
      <c r="C1498" s="7" t="str">
        <f t="shared" si="67"/>
        <v>100212000</v>
      </c>
      <c r="D1498" s="7" t="s">
        <v>1821</v>
      </c>
      <c r="E1498" s="7">
        <v>5817</v>
      </c>
      <c r="F1498" s="7" t="str">
        <f>"100212118"</f>
        <v>100212118</v>
      </c>
      <c r="H1498" s="7">
        <v>429</v>
      </c>
      <c r="I1498" s="11">
        <v>0.92</v>
      </c>
    </row>
    <row r="1499" spans="1:9">
      <c r="A1499" s="7" t="s">
        <v>1811</v>
      </c>
      <c r="B1499" s="7">
        <v>4407</v>
      </c>
      <c r="C1499" s="7" t="str">
        <f t="shared" si="67"/>
        <v>100212000</v>
      </c>
      <c r="D1499" s="7" t="s">
        <v>1822</v>
      </c>
      <c r="E1499" s="7">
        <v>5820</v>
      </c>
      <c r="F1499" s="7" t="str">
        <f>"100212122"</f>
        <v>100212122</v>
      </c>
      <c r="H1499" s="7">
        <v>487</v>
      </c>
      <c r="I1499" s="11">
        <v>0.86</v>
      </c>
    </row>
    <row r="1500" spans="1:9" ht="28.5">
      <c r="A1500" s="7" t="s">
        <v>1811</v>
      </c>
      <c r="B1500" s="7">
        <v>4407</v>
      </c>
      <c r="C1500" s="7" t="str">
        <f t="shared" si="67"/>
        <v>100212000</v>
      </c>
      <c r="D1500" s="7" t="s">
        <v>1823</v>
      </c>
      <c r="E1500" s="7">
        <v>5825</v>
      </c>
      <c r="F1500" s="7" t="str">
        <f>"100212134"</f>
        <v>100212134</v>
      </c>
      <c r="H1500" s="7">
        <v>379</v>
      </c>
      <c r="I1500" s="11">
        <v>0.9</v>
      </c>
    </row>
    <row r="1501" spans="1:9">
      <c r="A1501" s="7" t="s">
        <v>1811</v>
      </c>
      <c r="B1501" s="7">
        <v>4407</v>
      </c>
      <c r="C1501" s="7" t="str">
        <f t="shared" si="67"/>
        <v>100212000</v>
      </c>
      <c r="D1501" s="7" t="s">
        <v>1824</v>
      </c>
      <c r="E1501" s="7">
        <v>89584</v>
      </c>
      <c r="F1501" s="7" t="str">
        <f>"100212124"</f>
        <v>100212124</v>
      </c>
      <c r="H1501" s="7">
        <v>423</v>
      </c>
      <c r="I1501" s="11">
        <v>0.93</v>
      </c>
    </row>
    <row r="1502" spans="1:9">
      <c r="A1502" s="7" t="s">
        <v>1811</v>
      </c>
      <c r="B1502" s="7">
        <v>4407</v>
      </c>
      <c r="C1502" s="7" t="str">
        <f t="shared" si="67"/>
        <v>100212000</v>
      </c>
      <c r="D1502" s="7" t="s">
        <v>1825</v>
      </c>
      <c r="E1502" s="7">
        <v>5822</v>
      </c>
      <c r="F1502" s="7" t="str">
        <f>"100212126"</f>
        <v>100212126</v>
      </c>
      <c r="H1502" s="7">
        <v>437</v>
      </c>
      <c r="I1502" s="11">
        <v>0.91</v>
      </c>
    </row>
    <row r="1503" spans="1:9">
      <c r="A1503" s="7" t="s">
        <v>1811</v>
      </c>
      <c r="B1503" s="7">
        <v>4407</v>
      </c>
      <c r="C1503" s="7" t="str">
        <f t="shared" si="67"/>
        <v>100212000</v>
      </c>
      <c r="D1503" s="7" t="s">
        <v>1826</v>
      </c>
      <c r="E1503" s="7">
        <v>5823</v>
      </c>
      <c r="F1503" s="7" t="str">
        <f>"100212131"</f>
        <v>100212131</v>
      </c>
      <c r="H1503" s="7">
        <v>703</v>
      </c>
      <c r="I1503" s="11">
        <v>0.93</v>
      </c>
    </row>
    <row r="1504" spans="1:9">
      <c r="A1504" s="7" t="s">
        <v>1811</v>
      </c>
      <c r="B1504" s="7">
        <v>4407</v>
      </c>
      <c r="C1504" s="7" t="str">
        <f t="shared" si="67"/>
        <v>100212000</v>
      </c>
      <c r="D1504" s="7" t="s">
        <v>1827</v>
      </c>
      <c r="E1504" s="7">
        <v>6288</v>
      </c>
      <c r="F1504" s="7" t="str">
        <f>"100212513"</f>
        <v>100212513</v>
      </c>
      <c r="H1504" s="7">
        <v>307</v>
      </c>
      <c r="I1504" s="11">
        <v>0.83</v>
      </c>
    </row>
    <row r="1505" spans="1:9">
      <c r="A1505" s="7" t="s">
        <v>1811</v>
      </c>
      <c r="B1505" s="7">
        <v>4407</v>
      </c>
      <c r="C1505" s="7" t="str">
        <f t="shared" si="67"/>
        <v>100212000</v>
      </c>
      <c r="D1505" s="7" t="s">
        <v>1828</v>
      </c>
      <c r="E1505" s="7">
        <v>5821</v>
      </c>
      <c r="F1505" s="7" t="str">
        <f>"100212123"</f>
        <v>100212123</v>
      </c>
      <c r="H1505" s="7">
        <v>410</v>
      </c>
      <c r="I1505" s="11">
        <v>0.93</v>
      </c>
    </row>
    <row r="1506" spans="1:9">
      <c r="A1506" s="7" t="s">
        <v>1811</v>
      </c>
      <c r="B1506" s="7">
        <v>4407</v>
      </c>
      <c r="C1506" s="7" t="str">
        <f t="shared" si="67"/>
        <v>100212000</v>
      </c>
      <c r="D1506" s="7" t="s">
        <v>1829</v>
      </c>
      <c r="E1506" s="7">
        <v>5827</v>
      </c>
      <c r="F1506" s="7" t="str">
        <f>"100212230"</f>
        <v>100212230</v>
      </c>
      <c r="H1506" s="7">
        <v>2249</v>
      </c>
      <c r="I1506" s="11">
        <v>0.79</v>
      </c>
    </row>
    <row r="1507" spans="1:9" ht="28.5">
      <c r="A1507" s="7" t="s">
        <v>1830</v>
      </c>
      <c r="B1507" s="7">
        <v>4440</v>
      </c>
      <c r="C1507" s="7" t="str">
        <f>"110215000"</f>
        <v>110215000</v>
      </c>
      <c r="D1507" s="7" t="s">
        <v>1831</v>
      </c>
      <c r="E1507" s="7">
        <v>5905</v>
      </c>
      <c r="F1507" s="7" t="str">
        <f>"110215101"</f>
        <v>110215101</v>
      </c>
      <c r="G1507" s="7" t="s">
        <v>16</v>
      </c>
      <c r="H1507" s="7">
        <v>166</v>
      </c>
      <c r="I1507" s="11">
        <v>0.73</v>
      </c>
    </row>
    <row r="1508" spans="1:9">
      <c r="A1508" s="7" t="s">
        <v>1830</v>
      </c>
      <c r="B1508" s="7">
        <v>4440</v>
      </c>
      <c r="C1508" s="7" t="str">
        <f>"110215000"</f>
        <v>110215000</v>
      </c>
      <c r="D1508" s="7" t="s">
        <v>1832</v>
      </c>
      <c r="E1508" s="7">
        <v>5907</v>
      </c>
      <c r="F1508" s="7" t="str">
        <f>"110215205"</f>
        <v>110215205</v>
      </c>
      <c r="H1508" s="7">
        <v>161</v>
      </c>
      <c r="I1508" s="11">
        <v>0.66</v>
      </c>
    </row>
    <row r="1509" spans="1:9">
      <c r="A1509" s="7" t="s">
        <v>1833</v>
      </c>
      <c r="B1509" s="7">
        <v>92981</v>
      </c>
      <c r="C1509" s="7" t="str">
        <f>"078237000"</f>
        <v>078237000</v>
      </c>
      <c r="D1509" s="7" t="s">
        <v>1834</v>
      </c>
      <c r="E1509" s="7">
        <v>962403</v>
      </c>
      <c r="F1509" s="7" t="str">
        <f>"078237001"</f>
        <v>078237001</v>
      </c>
      <c r="G1509" s="7" t="s">
        <v>26</v>
      </c>
      <c r="H1509" s="7">
        <v>608</v>
      </c>
      <c r="I1509" s="11">
        <v>0.79</v>
      </c>
    </row>
    <row r="1510" spans="1:9">
      <c r="A1510" s="7" t="s">
        <v>1835</v>
      </c>
      <c r="B1510" s="7">
        <v>4408</v>
      </c>
      <c r="C1510" s="7" t="str">
        <f>"100213000"</f>
        <v>100213000</v>
      </c>
      <c r="D1510" s="7" t="s">
        <v>1836</v>
      </c>
      <c r="E1510" s="7">
        <v>5830</v>
      </c>
      <c r="F1510" s="7" t="str">
        <f>"100213105"</f>
        <v>100213105</v>
      </c>
      <c r="H1510" s="7">
        <v>428</v>
      </c>
      <c r="I1510" s="11">
        <v>0.12</v>
      </c>
    </row>
    <row r="1511" spans="1:9">
      <c r="A1511" s="7" t="s">
        <v>1835</v>
      </c>
      <c r="B1511" s="7">
        <v>4408</v>
      </c>
      <c r="C1511" s="7" t="str">
        <f>"100213000"</f>
        <v>100213000</v>
      </c>
      <c r="D1511" s="7" t="s">
        <v>1837</v>
      </c>
      <c r="E1511" s="7">
        <v>5828</v>
      </c>
      <c r="F1511" s="7" t="str">
        <f>"100213002"</f>
        <v>100213002</v>
      </c>
      <c r="H1511" s="7">
        <v>429</v>
      </c>
      <c r="I1511" s="11">
        <v>0.18</v>
      </c>
    </row>
    <row r="1512" spans="1:9">
      <c r="A1512" s="7" t="s">
        <v>1835</v>
      </c>
      <c r="B1512" s="7">
        <v>4408</v>
      </c>
      <c r="C1512" s="7" t="str">
        <f>"100213000"</f>
        <v>100213000</v>
      </c>
      <c r="D1512" s="7" t="s">
        <v>1838</v>
      </c>
      <c r="E1512" s="7">
        <v>5829</v>
      </c>
      <c r="F1512" s="7" t="str">
        <f>"100213103"</f>
        <v>100213103</v>
      </c>
      <c r="H1512" s="7">
        <v>631</v>
      </c>
      <c r="I1512" s="11">
        <v>0.17</v>
      </c>
    </row>
    <row r="1513" spans="1:9">
      <c r="A1513" s="7" t="s">
        <v>1835</v>
      </c>
      <c r="B1513" s="7">
        <v>4408</v>
      </c>
      <c r="C1513" s="7" t="str">
        <f>"100213000"</f>
        <v>100213000</v>
      </c>
      <c r="D1513" s="7" t="s">
        <v>1839</v>
      </c>
      <c r="E1513" s="7">
        <v>87466</v>
      </c>
      <c r="F1513" s="7" t="str">
        <f>"100213201"</f>
        <v>100213201</v>
      </c>
      <c r="H1513" s="7">
        <v>734</v>
      </c>
      <c r="I1513" s="11">
        <v>0.14000000000000001</v>
      </c>
    </row>
    <row r="1514" spans="1:9">
      <c r="A1514" s="7" t="s">
        <v>1840</v>
      </c>
      <c r="B1514" s="7">
        <v>79218</v>
      </c>
      <c r="C1514" s="7" t="str">
        <f>"088702000"</f>
        <v>088702000</v>
      </c>
      <c r="D1514" s="7" t="s">
        <v>1841</v>
      </c>
      <c r="E1514" s="7">
        <v>80980</v>
      </c>
      <c r="F1514" s="7" t="str">
        <f>"088702002"</f>
        <v>088702002</v>
      </c>
      <c r="H1514" s="7">
        <v>293</v>
      </c>
      <c r="I1514" s="11">
        <v>0.57999999999999996</v>
      </c>
    </row>
    <row r="1515" spans="1:9">
      <c r="A1515" s="7" t="s">
        <v>1840</v>
      </c>
      <c r="B1515" s="7">
        <v>79218</v>
      </c>
      <c r="C1515" s="7" t="str">
        <f>"088702000"</f>
        <v>088702000</v>
      </c>
      <c r="D1515" s="7" t="s">
        <v>1842</v>
      </c>
      <c r="E1515" s="7">
        <v>78857</v>
      </c>
      <c r="F1515" s="7" t="str">
        <f>"088702001"</f>
        <v>088702001</v>
      </c>
      <c r="H1515" s="7">
        <v>59</v>
      </c>
      <c r="I1515" s="11">
        <v>0.54</v>
      </c>
    </row>
    <row r="1516" spans="1:9">
      <c r="A1516" s="7" t="s">
        <v>1843</v>
      </c>
      <c r="B1516" s="7">
        <v>4258</v>
      </c>
      <c r="C1516" s="7" t="str">
        <f t="shared" ref="C1516:C1537" si="68">"070403000"</f>
        <v>070403000</v>
      </c>
      <c r="D1516" s="7" t="s">
        <v>1844</v>
      </c>
      <c r="E1516" s="7">
        <v>5226</v>
      </c>
      <c r="F1516" s="7" t="str">
        <f>"070403128"</f>
        <v>070403128</v>
      </c>
      <c r="H1516" s="7">
        <v>431</v>
      </c>
      <c r="I1516" s="11">
        <v>0.74</v>
      </c>
    </row>
    <row r="1517" spans="1:9">
      <c r="A1517" s="7" t="s">
        <v>1843</v>
      </c>
      <c r="B1517" s="7">
        <v>4258</v>
      </c>
      <c r="C1517" s="7" t="str">
        <f t="shared" si="68"/>
        <v>070403000</v>
      </c>
      <c r="D1517" s="7" t="s">
        <v>1845</v>
      </c>
      <c r="E1517" s="7">
        <v>5222</v>
      </c>
      <c r="F1517" s="7" t="str">
        <f>"070403123"</f>
        <v>070403123</v>
      </c>
      <c r="H1517" s="7">
        <v>480</v>
      </c>
      <c r="I1517" s="11">
        <v>0.73</v>
      </c>
    </row>
    <row r="1518" spans="1:9">
      <c r="A1518" s="7" t="s">
        <v>1843</v>
      </c>
      <c r="B1518" s="7">
        <v>4258</v>
      </c>
      <c r="C1518" s="7" t="str">
        <f t="shared" si="68"/>
        <v>070403000</v>
      </c>
      <c r="D1518" s="7" t="s">
        <v>1846</v>
      </c>
      <c r="E1518" s="7">
        <v>5213</v>
      </c>
      <c r="F1518" s="7" t="str">
        <f>"070403113"</f>
        <v>070403113</v>
      </c>
      <c r="H1518" s="7">
        <v>625</v>
      </c>
      <c r="I1518" s="11">
        <v>0.47</v>
      </c>
    </row>
    <row r="1519" spans="1:9" ht="28.5">
      <c r="A1519" s="7" t="s">
        <v>1843</v>
      </c>
      <c r="B1519" s="7">
        <v>4258</v>
      </c>
      <c r="C1519" s="7" t="str">
        <f t="shared" si="68"/>
        <v>070403000</v>
      </c>
      <c r="D1519" s="7" t="s">
        <v>1847</v>
      </c>
      <c r="E1519" s="7">
        <v>5212</v>
      </c>
      <c r="F1519" s="7" t="str">
        <f>"070403111"</f>
        <v>070403111</v>
      </c>
      <c r="G1519" s="7" t="s">
        <v>16</v>
      </c>
      <c r="H1519" s="7">
        <v>320</v>
      </c>
      <c r="I1519" s="12">
        <v>0.91</v>
      </c>
    </row>
    <row r="1520" spans="1:9" ht="28.5">
      <c r="A1520" s="7" t="s">
        <v>1843</v>
      </c>
      <c r="B1520" s="7">
        <v>4258</v>
      </c>
      <c r="C1520" s="7" t="str">
        <f t="shared" si="68"/>
        <v>070403000</v>
      </c>
      <c r="D1520" s="7" t="s">
        <v>1848</v>
      </c>
      <c r="E1520" s="7">
        <v>5216</v>
      </c>
      <c r="F1520" s="7" t="str">
        <f>"070403117"</f>
        <v>070403117</v>
      </c>
      <c r="G1520" s="7" t="s">
        <v>16</v>
      </c>
      <c r="H1520" s="7">
        <v>507</v>
      </c>
      <c r="I1520" s="12">
        <v>0.81</v>
      </c>
    </row>
    <row r="1521" spans="1:9">
      <c r="A1521" s="7" t="s">
        <v>1843</v>
      </c>
      <c r="B1521" s="7">
        <v>4258</v>
      </c>
      <c r="C1521" s="7" t="str">
        <f t="shared" si="68"/>
        <v>070403000</v>
      </c>
      <c r="D1521" s="7" t="s">
        <v>1849</v>
      </c>
      <c r="E1521" s="7">
        <v>5231</v>
      </c>
      <c r="F1521" s="7" t="str">
        <f>"070403144"</f>
        <v>070403144</v>
      </c>
      <c r="H1521" s="7">
        <v>940</v>
      </c>
      <c r="I1521" s="11">
        <v>0.67</v>
      </c>
    </row>
    <row r="1522" spans="1:9" ht="28.5">
      <c r="A1522" s="7" t="s">
        <v>1843</v>
      </c>
      <c r="B1522" s="7">
        <v>4258</v>
      </c>
      <c r="C1522" s="7" t="str">
        <f t="shared" si="68"/>
        <v>070403000</v>
      </c>
      <c r="D1522" s="7" t="s">
        <v>1850</v>
      </c>
      <c r="E1522" s="7">
        <v>5221</v>
      </c>
      <c r="F1522" s="7" t="str">
        <f>"070403122"</f>
        <v>070403122</v>
      </c>
      <c r="G1522" s="7" t="s">
        <v>16</v>
      </c>
      <c r="H1522" s="7">
        <v>448</v>
      </c>
      <c r="I1522" s="12">
        <v>0.81</v>
      </c>
    </row>
    <row r="1523" spans="1:9" ht="28.5">
      <c r="A1523" s="7" t="s">
        <v>1843</v>
      </c>
      <c r="B1523" s="7">
        <v>4258</v>
      </c>
      <c r="C1523" s="7" t="str">
        <f t="shared" si="68"/>
        <v>070403000</v>
      </c>
      <c r="D1523" s="7" t="s">
        <v>1851</v>
      </c>
      <c r="E1523" s="7">
        <v>92894</v>
      </c>
      <c r="F1523" s="7" t="str">
        <f>"072112007"</f>
        <v>072112007</v>
      </c>
      <c r="H1523" s="7">
        <v>26</v>
      </c>
      <c r="I1523" s="11">
        <v>0.73</v>
      </c>
    </row>
    <row r="1524" spans="1:9" ht="28.5">
      <c r="A1524" s="7" t="s">
        <v>1843</v>
      </c>
      <c r="B1524" s="7">
        <v>4258</v>
      </c>
      <c r="C1524" s="7" t="str">
        <f t="shared" si="68"/>
        <v>070403000</v>
      </c>
      <c r="D1524" s="7" t="s">
        <v>1852</v>
      </c>
      <c r="E1524" s="7">
        <v>5232</v>
      </c>
      <c r="F1524" s="7" t="str">
        <f>"070403145"</f>
        <v>070403145</v>
      </c>
      <c r="H1524" s="7">
        <v>695</v>
      </c>
      <c r="I1524" s="11">
        <v>0.77</v>
      </c>
    </row>
    <row r="1525" spans="1:9" ht="28.5">
      <c r="A1525" s="7" t="s">
        <v>1843</v>
      </c>
      <c r="B1525" s="7">
        <v>4258</v>
      </c>
      <c r="C1525" s="7" t="str">
        <f t="shared" si="68"/>
        <v>070403000</v>
      </c>
      <c r="D1525" s="7" t="s">
        <v>1853</v>
      </c>
      <c r="E1525" s="7">
        <v>5214</v>
      </c>
      <c r="F1525" s="7" t="str">
        <f>"070403114"</f>
        <v>070403114</v>
      </c>
      <c r="G1525" s="7" t="s">
        <v>16</v>
      </c>
      <c r="H1525" s="7">
        <v>450</v>
      </c>
      <c r="I1525" s="12">
        <v>0.9</v>
      </c>
    </row>
    <row r="1526" spans="1:9" ht="28.5">
      <c r="A1526" s="7" t="s">
        <v>1843</v>
      </c>
      <c r="B1526" s="7">
        <v>4258</v>
      </c>
      <c r="C1526" s="7" t="str">
        <f t="shared" si="68"/>
        <v>070403000</v>
      </c>
      <c r="D1526" s="7" t="s">
        <v>1854</v>
      </c>
      <c r="E1526" s="7">
        <v>5211</v>
      </c>
      <c r="F1526" s="7" t="str">
        <f>"070403110"</f>
        <v>070403110</v>
      </c>
      <c r="G1526" s="7" t="s">
        <v>16</v>
      </c>
      <c r="H1526" s="7">
        <v>525</v>
      </c>
      <c r="I1526" s="12">
        <v>0.96</v>
      </c>
    </row>
    <row r="1527" spans="1:9">
      <c r="A1527" s="7" t="s">
        <v>1843</v>
      </c>
      <c r="B1527" s="7">
        <v>4258</v>
      </c>
      <c r="C1527" s="7" t="str">
        <f t="shared" si="68"/>
        <v>070403000</v>
      </c>
      <c r="D1527" s="7" t="s">
        <v>1855</v>
      </c>
      <c r="E1527" s="7">
        <v>5228</v>
      </c>
      <c r="F1527" s="7" t="str">
        <f>"070403130"</f>
        <v>070403130</v>
      </c>
      <c r="H1527" s="7">
        <v>521</v>
      </c>
      <c r="I1527" s="11">
        <v>0.42</v>
      </c>
    </row>
    <row r="1528" spans="1:9" ht="28.5">
      <c r="A1528" s="7" t="s">
        <v>1843</v>
      </c>
      <c r="B1528" s="7">
        <v>4258</v>
      </c>
      <c r="C1528" s="7" t="str">
        <f t="shared" si="68"/>
        <v>070403000</v>
      </c>
      <c r="D1528" s="7" t="s">
        <v>1856</v>
      </c>
      <c r="E1528" s="7">
        <v>5230</v>
      </c>
      <c r="F1528" s="7" t="str">
        <f>"070403143"</f>
        <v>070403143</v>
      </c>
      <c r="G1528" s="7" t="s">
        <v>16</v>
      </c>
      <c r="H1528" s="7">
        <v>722</v>
      </c>
      <c r="I1528" s="12">
        <v>0.8</v>
      </c>
    </row>
    <row r="1529" spans="1:9" ht="28.5">
      <c r="A1529" s="7" t="s">
        <v>1843</v>
      </c>
      <c r="B1529" s="7">
        <v>4258</v>
      </c>
      <c r="C1529" s="7" t="str">
        <f t="shared" si="68"/>
        <v>070403000</v>
      </c>
      <c r="D1529" s="7" t="s">
        <v>1857</v>
      </c>
      <c r="E1529" s="7">
        <v>5215</v>
      </c>
      <c r="F1529" s="7" t="str">
        <f>"070403115"</f>
        <v>070403115</v>
      </c>
      <c r="G1529" s="7" t="s">
        <v>16</v>
      </c>
      <c r="H1529" s="7">
        <v>422</v>
      </c>
      <c r="I1529" s="12">
        <v>0.95</v>
      </c>
    </row>
    <row r="1530" spans="1:9" ht="28.5">
      <c r="A1530" s="7" t="s">
        <v>1843</v>
      </c>
      <c r="B1530" s="7">
        <v>4258</v>
      </c>
      <c r="C1530" s="7" t="str">
        <f t="shared" si="68"/>
        <v>070403000</v>
      </c>
      <c r="D1530" s="7" t="s">
        <v>1858</v>
      </c>
      <c r="E1530" s="7">
        <v>5219</v>
      </c>
      <c r="F1530" s="7" t="str">
        <f>"070403120"</f>
        <v>070403120</v>
      </c>
      <c r="H1530" s="7">
        <v>393</v>
      </c>
      <c r="I1530" s="11">
        <v>0.66</v>
      </c>
    </row>
    <row r="1531" spans="1:9" ht="28.5">
      <c r="A1531" s="7" t="s">
        <v>1843</v>
      </c>
      <c r="B1531" s="7">
        <v>4258</v>
      </c>
      <c r="C1531" s="7" t="str">
        <f t="shared" si="68"/>
        <v>070403000</v>
      </c>
      <c r="D1531" s="7" t="s">
        <v>1859</v>
      </c>
      <c r="E1531" s="7">
        <v>91913</v>
      </c>
      <c r="F1531" s="7" t="str">
        <f>"070403162"</f>
        <v>070403162</v>
      </c>
      <c r="H1531" s="7">
        <v>339</v>
      </c>
      <c r="I1531" s="11">
        <v>0.45</v>
      </c>
    </row>
    <row r="1532" spans="1:9">
      <c r="A1532" s="7" t="s">
        <v>1843</v>
      </c>
      <c r="B1532" s="7">
        <v>4258</v>
      </c>
      <c r="C1532" s="7" t="str">
        <f t="shared" si="68"/>
        <v>070403000</v>
      </c>
      <c r="D1532" s="7" t="s">
        <v>1860</v>
      </c>
      <c r="E1532" s="7">
        <v>5217</v>
      </c>
      <c r="F1532" s="7" t="str">
        <f>"070403118"</f>
        <v>070403118</v>
      </c>
      <c r="H1532" s="7">
        <v>196</v>
      </c>
      <c r="I1532" s="11">
        <v>0.24</v>
      </c>
    </row>
    <row r="1533" spans="1:9">
      <c r="A1533" s="7" t="s">
        <v>1843</v>
      </c>
      <c r="B1533" s="7">
        <v>4258</v>
      </c>
      <c r="C1533" s="7" t="str">
        <f t="shared" si="68"/>
        <v>070403000</v>
      </c>
      <c r="D1533" s="7" t="s">
        <v>1861</v>
      </c>
      <c r="E1533" s="7">
        <v>5224</v>
      </c>
      <c r="F1533" s="7" t="str">
        <f>"070403126"</f>
        <v>070403126</v>
      </c>
      <c r="H1533" s="7">
        <v>658</v>
      </c>
      <c r="I1533" s="11">
        <v>0.86</v>
      </c>
    </row>
    <row r="1534" spans="1:9">
      <c r="A1534" s="7" t="s">
        <v>1843</v>
      </c>
      <c r="B1534" s="7">
        <v>4258</v>
      </c>
      <c r="C1534" s="7" t="str">
        <f t="shared" si="68"/>
        <v>070403000</v>
      </c>
      <c r="D1534" s="7" t="s">
        <v>1862</v>
      </c>
      <c r="E1534" s="7">
        <v>5227</v>
      </c>
      <c r="F1534" s="7" t="str">
        <f>"070403129"</f>
        <v>070403129</v>
      </c>
      <c r="H1534" s="7">
        <v>363</v>
      </c>
      <c r="I1534" s="11">
        <v>0.52</v>
      </c>
    </row>
    <row r="1535" spans="1:9" ht="28.5">
      <c r="A1535" s="7" t="s">
        <v>1843</v>
      </c>
      <c r="B1535" s="7">
        <v>4258</v>
      </c>
      <c r="C1535" s="7" t="str">
        <f t="shared" si="68"/>
        <v>070403000</v>
      </c>
      <c r="D1535" s="7" t="s">
        <v>1863</v>
      </c>
      <c r="E1535" s="7">
        <v>5220</v>
      </c>
      <c r="F1535" s="7" t="str">
        <f>"070403121"</f>
        <v>070403121</v>
      </c>
      <c r="G1535" s="7" t="s">
        <v>16</v>
      </c>
      <c r="H1535" s="7">
        <v>383</v>
      </c>
      <c r="I1535" s="12">
        <v>0.88</v>
      </c>
    </row>
    <row r="1536" spans="1:9">
      <c r="A1536" s="7" t="s">
        <v>1843</v>
      </c>
      <c r="B1536" s="7">
        <v>4258</v>
      </c>
      <c r="C1536" s="7" t="str">
        <f t="shared" si="68"/>
        <v>070403000</v>
      </c>
      <c r="D1536" s="7" t="s">
        <v>1864</v>
      </c>
      <c r="E1536" s="7">
        <v>81057</v>
      </c>
      <c r="F1536" s="7" t="str">
        <f>"070403161"</f>
        <v>070403161</v>
      </c>
      <c r="H1536" s="7">
        <v>376</v>
      </c>
      <c r="I1536" s="11">
        <v>0.28999999999999998</v>
      </c>
    </row>
    <row r="1537" spans="1:9">
      <c r="A1537" s="7" t="s">
        <v>1843</v>
      </c>
      <c r="B1537" s="7">
        <v>4258</v>
      </c>
      <c r="C1537" s="7" t="str">
        <f t="shared" si="68"/>
        <v>070403000</v>
      </c>
      <c r="D1537" s="7" t="s">
        <v>1865</v>
      </c>
      <c r="E1537" s="7">
        <v>5225</v>
      </c>
      <c r="F1537" s="7" t="str">
        <f>"070403127"</f>
        <v>070403127</v>
      </c>
      <c r="H1537" s="7">
        <v>783</v>
      </c>
      <c r="I1537" s="11">
        <v>0.62</v>
      </c>
    </row>
    <row r="1538" spans="1:9">
      <c r="A1538" s="7" t="s">
        <v>1866</v>
      </c>
      <c r="B1538" s="7">
        <v>4287</v>
      </c>
      <c r="C1538" s="7" t="str">
        <f t="shared" ref="C1538:C1543" si="69">"070513000"</f>
        <v>070513000</v>
      </c>
      <c r="D1538" s="7" t="s">
        <v>1867</v>
      </c>
      <c r="E1538" s="7">
        <v>5447</v>
      </c>
      <c r="F1538" s="7" t="str">
        <f>"070513094"</f>
        <v>070513094</v>
      </c>
      <c r="H1538" s="7">
        <v>2821</v>
      </c>
      <c r="I1538" s="11">
        <v>0.18</v>
      </c>
    </row>
    <row r="1539" spans="1:9">
      <c r="A1539" s="7" t="s">
        <v>1866</v>
      </c>
      <c r="B1539" s="7">
        <v>4287</v>
      </c>
      <c r="C1539" s="7" t="str">
        <f t="shared" si="69"/>
        <v>070513000</v>
      </c>
      <c r="D1539" s="7" t="s">
        <v>1868</v>
      </c>
      <c r="E1539" s="7">
        <v>5449</v>
      </c>
      <c r="F1539" s="7" t="str">
        <f>"070513096"</f>
        <v>070513096</v>
      </c>
      <c r="H1539" s="7">
        <v>2998</v>
      </c>
      <c r="I1539" s="11">
        <v>0.16</v>
      </c>
    </row>
    <row r="1540" spans="1:9">
      <c r="A1540" s="7" t="s">
        <v>1866</v>
      </c>
      <c r="B1540" s="7">
        <v>4287</v>
      </c>
      <c r="C1540" s="7" t="str">
        <f t="shared" si="69"/>
        <v>070513000</v>
      </c>
      <c r="D1540" s="7" t="s">
        <v>1869</v>
      </c>
      <c r="E1540" s="7">
        <v>5446</v>
      </c>
      <c r="F1540" s="7" t="str">
        <f>"070513093"</f>
        <v>070513093</v>
      </c>
      <c r="H1540" s="7">
        <v>1664</v>
      </c>
      <c r="I1540" s="11">
        <v>0.52</v>
      </c>
    </row>
    <row r="1541" spans="1:9">
      <c r="A1541" s="7" t="s">
        <v>1866</v>
      </c>
      <c r="B1541" s="7">
        <v>4287</v>
      </c>
      <c r="C1541" s="7" t="str">
        <f t="shared" si="69"/>
        <v>070513000</v>
      </c>
      <c r="D1541" s="7" t="s">
        <v>1870</v>
      </c>
      <c r="E1541" s="7">
        <v>5445</v>
      </c>
      <c r="F1541" s="7" t="str">
        <f>"070513092"</f>
        <v>070513092</v>
      </c>
      <c r="H1541" s="7">
        <v>2013</v>
      </c>
      <c r="I1541" s="11">
        <v>0.48</v>
      </c>
    </row>
    <row r="1542" spans="1:9">
      <c r="A1542" s="7" t="s">
        <v>1866</v>
      </c>
      <c r="B1542" s="7">
        <v>4287</v>
      </c>
      <c r="C1542" s="7" t="str">
        <f t="shared" si="69"/>
        <v>070513000</v>
      </c>
      <c r="D1542" s="7" t="s">
        <v>1871</v>
      </c>
      <c r="E1542" s="7">
        <v>5448</v>
      </c>
      <c r="F1542" s="7" t="str">
        <f>"070513095"</f>
        <v>070513095</v>
      </c>
      <c r="H1542" s="7">
        <v>1841</v>
      </c>
      <c r="I1542" s="11">
        <v>0.41</v>
      </c>
    </row>
    <row r="1543" spans="1:9">
      <c r="A1543" s="7" t="s">
        <v>1866</v>
      </c>
      <c r="B1543" s="7">
        <v>4287</v>
      </c>
      <c r="C1543" s="7" t="str">
        <f t="shared" si="69"/>
        <v>070513000</v>
      </c>
      <c r="D1543" s="7" t="s">
        <v>1872</v>
      </c>
      <c r="E1543" s="7">
        <v>5444</v>
      </c>
      <c r="F1543" s="7" t="str">
        <f>"070513091"</f>
        <v>070513091</v>
      </c>
      <c r="H1543" s="7">
        <v>1677</v>
      </c>
      <c r="I1543" s="11">
        <v>0.64</v>
      </c>
    </row>
    <row r="1544" spans="1:9">
      <c r="A1544" s="7" t="s">
        <v>1873</v>
      </c>
      <c r="B1544" s="7">
        <v>4219</v>
      </c>
      <c r="C1544" s="7" t="str">
        <f>"050204000"</f>
        <v>050204000</v>
      </c>
      <c r="D1544" s="7" t="s">
        <v>1874</v>
      </c>
      <c r="E1544" s="7">
        <v>4886</v>
      </c>
      <c r="F1544" s="7" t="str">
        <f>"050204100"</f>
        <v>050204100</v>
      </c>
      <c r="H1544" s="7">
        <v>418</v>
      </c>
      <c r="I1544" s="11">
        <v>0.42</v>
      </c>
    </row>
    <row r="1545" spans="1:9">
      <c r="A1545" s="7" t="s">
        <v>1873</v>
      </c>
      <c r="B1545" s="7">
        <v>4219</v>
      </c>
      <c r="C1545" s="7" t="str">
        <f>"050204000"</f>
        <v>050204000</v>
      </c>
      <c r="D1545" s="7" t="s">
        <v>1875</v>
      </c>
      <c r="E1545" s="7">
        <v>4887</v>
      </c>
      <c r="F1545" s="7" t="str">
        <f>"050204101"</f>
        <v>050204101</v>
      </c>
      <c r="H1545" s="7">
        <v>556</v>
      </c>
      <c r="I1545" s="11">
        <v>0.39</v>
      </c>
    </row>
    <row r="1546" spans="1:9">
      <c r="A1546" s="7" t="s">
        <v>1873</v>
      </c>
      <c r="B1546" s="7">
        <v>4219</v>
      </c>
      <c r="C1546" s="7" t="str">
        <f>"050204000"</f>
        <v>050204000</v>
      </c>
      <c r="D1546" s="7" t="s">
        <v>1876</v>
      </c>
      <c r="E1546" s="7">
        <v>4889</v>
      </c>
      <c r="F1546" s="7" t="str">
        <f>"050204200"</f>
        <v>050204200</v>
      </c>
      <c r="H1546" s="7">
        <v>561</v>
      </c>
      <c r="I1546" s="11">
        <v>0.31</v>
      </c>
    </row>
    <row r="1547" spans="1:9">
      <c r="A1547" s="7" t="s">
        <v>1873</v>
      </c>
      <c r="B1547" s="7">
        <v>4219</v>
      </c>
      <c r="C1547" s="7" t="str">
        <f>"050204000"</f>
        <v>050204000</v>
      </c>
      <c r="D1547" s="7" t="s">
        <v>1877</v>
      </c>
      <c r="E1547" s="7">
        <v>4888</v>
      </c>
      <c r="F1547" s="7" t="str">
        <f>"050204102"</f>
        <v>050204102</v>
      </c>
      <c r="H1547" s="7">
        <v>315</v>
      </c>
      <c r="I1547" s="11">
        <v>0.36</v>
      </c>
    </row>
    <row r="1548" spans="1:9" ht="28.5">
      <c r="A1548" s="7" t="s">
        <v>1878</v>
      </c>
      <c r="B1548" s="7">
        <v>4305</v>
      </c>
      <c r="C1548" s="7" t="str">
        <f>"078613000"</f>
        <v>078613000</v>
      </c>
      <c r="D1548" s="7" t="s">
        <v>1879</v>
      </c>
      <c r="E1548" s="7">
        <v>5470</v>
      </c>
      <c r="F1548" s="7" t="str">
        <f>"078613101"</f>
        <v>078613101</v>
      </c>
      <c r="G1548" s="7" t="s">
        <v>16</v>
      </c>
      <c r="H1548" s="7">
        <v>228</v>
      </c>
      <c r="I1548" s="11">
        <v>0.66</v>
      </c>
    </row>
    <row r="1549" spans="1:9" ht="28.5">
      <c r="A1549" s="7" t="s">
        <v>1880</v>
      </c>
      <c r="B1549" s="7">
        <v>6355</v>
      </c>
      <c r="C1549" s="7" t="str">
        <f>"108722000"</f>
        <v>108722000</v>
      </c>
      <c r="D1549" s="7" t="s">
        <v>1881</v>
      </c>
      <c r="E1549" s="7">
        <v>6063</v>
      </c>
      <c r="F1549" s="7" t="str">
        <f>"108722001"</f>
        <v>108722001</v>
      </c>
      <c r="G1549" s="7" t="s">
        <v>16</v>
      </c>
      <c r="H1549" s="7">
        <v>81</v>
      </c>
      <c r="I1549" s="11">
        <v>0.77</v>
      </c>
    </row>
    <row r="1550" spans="1:9" ht="28.5">
      <c r="A1550" s="7" t="s">
        <v>1880</v>
      </c>
      <c r="B1550" s="7">
        <v>6355</v>
      </c>
      <c r="C1550" s="7" t="str">
        <f>"108722000"</f>
        <v>108722000</v>
      </c>
      <c r="D1550" s="7" t="s">
        <v>1882</v>
      </c>
      <c r="E1550" s="7">
        <v>79296</v>
      </c>
      <c r="F1550" s="7" t="str">
        <f>"108722005"</f>
        <v>108722005</v>
      </c>
      <c r="G1550" s="7" t="s">
        <v>16</v>
      </c>
      <c r="H1550" s="7">
        <v>160</v>
      </c>
      <c r="I1550" s="11">
        <v>0.85</v>
      </c>
    </row>
    <row r="1551" spans="1:9">
      <c r="A1551" s="7" t="s">
        <v>1883</v>
      </c>
      <c r="B1551" s="7">
        <v>92978</v>
      </c>
      <c r="C1551" s="7" t="str">
        <f>"118717000"</f>
        <v>118717000</v>
      </c>
      <c r="D1551" s="7" t="s">
        <v>1884</v>
      </c>
      <c r="E1551" s="7">
        <v>649230</v>
      </c>
      <c r="F1551" s="7" t="str">
        <f>"118717001"</f>
        <v>118717001</v>
      </c>
      <c r="H1551" s="7">
        <v>722</v>
      </c>
      <c r="I1551" s="11">
        <v>0.56000000000000005</v>
      </c>
    </row>
    <row r="1552" spans="1:9">
      <c r="A1552" s="7" t="s">
        <v>1885</v>
      </c>
      <c r="B1552" s="7">
        <v>91250</v>
      </c>
      <c r="C1552" s="7" t="str">
        <f>"078206000"</f>
        <v>078206000</v>
      </c>
      <c r="D1552" s="7" t="s">
        <v>1886</v>
      </c>
      <c r="E1552" s="7">
        <v>1001431</v>
      </c>
      <c r="F1552" s="7" t="str">
        <f>"078206004"</f>
        <v>078206004</v>
      </c>
      <c r="H1552" s="7">
        <v>247</v>
      </c>
      <c r="I1552" s="11">
        <v>0.74</v>
      </c>
    </row>
    <row r="1553" spans="1:9" ht="28.5">
      <c r="A1553" s="7" t="s">
        <v>1885</v>
      </c>
      <c r="B1553" s="7">
        <v>91250</v>
      </c>
      <c r="C1553" s="7" t="str">
        <f>"078206000"</f>
        <v>078206000</v>
      </c>
      <c r="D1553" s="7" t="s">
        <v>1887</v>
      </c>
      <c r="E1553" s="7">
        <v>91775</v>
      </c>
      <c r="F1553" s="7" t="str">
        <f>"078206001"</f>
        <v>078206001</v>
      </c>
      <c r="H1553" s="7">
        <v>620</v>
      </c>
      <c r="I1553" s="11">
        <v>0.84</v>
      </c>
    </row>
    <row r="1554" spans="1:9">
      <c r="A1554" s="7" t="s">
        <v>1888</v>
      </c>
      <c r="B1554" s="7">
        <v>92976</v>
      </c>
      <c r="C1554" s="7" t="str">
        <f>"078411000"</f>
        <v>078411000</v>
      </c>
      <c r="D1554" s="7" t="s">
        <v>1888</v>
      </c>
      <c r="E1554" s="7">
        <v>1000047</v>
      </c>
      <c r="F1554" s="7" t="str">
        <f>"078411201"</f>
        <v>078411201</v>
      </c>
      <c r="H1554" s="7">
        <v>58</v>
      </c>
      <c r="I1554" s="11">
        <v>0.84</v>
      </c>
    </row>
    <row r="1555" spans="1:9">
      <c r="A1555" s="7" t="s">
        <v>1889</v>
      </c>
      <c r="B1555" s="7">
        <v>80081</v>
      </c>
      <c r="C1555" s="7" t="str">
        <f>"094012000"</f>
        <v>094012000</v>
      </c>
      <c r="D1555" s="7" t="s">
        <v>1890</v>
      </c>
      <c r="E1555" s="7">
        <v>80082</v>
      </c>
      <c r="F1555" s="7" t="str">
        <f>"094012001"</f>
        <v>094012001</v>
      </c>
      <c r="H1555" s="7">
        <v>58</v>
      </c>
      <c r="I1555" s="11">
        <v>0.76</v>
      </c>
    </row>
    <row r="1556" spans="1:9" ht="28.5">
      <c r="A1556" s="7" t="s">
        <v>1891</v>
      </c>
      <c r="B1556" s="7">
        <v>4264</v>
      </c>
      <c r="C1556" s="7" t="str">
        <f>"070417000"</f>
        <v>070417000</v>
      </c>
      <c r="D1556" s="7" t="s">
        <v>705</v>
      </c>
      <c r="E1556" s="7">
        <v>10869</v>
      </c>
      <c r="F1556" s="7" t="str">
        <f>"070417102"</f>
        <v>070417102</v>
      </c>
      <c r="G1556" s="7" t="s">
        <v>16</v>
      </c>
      <c r="H1556" s="7">
        <v>693</v>
      </c>
      <c r="I1556" s="11">
        <v>0.74</v>
      </c>
    </row>
    <row r="1557" spans="1:9" ht="28.5">
      <c r="A1557" s="7" t="s">
        <v>1891</v>
      </c>
      <c r="B1557" s="7">
        <v>4264</v>
      </c>
      <c r="C1557" s="7" t="str">
        <f>"070417000"</f>
        <v>070417000</v>
      </c>
      <c r="D1557" s="7" t="s">
        <v>1279</v>
      </c>
      <c r="E1557" s="7">
        <v>87526</v>
      </c>
      <c r="F1557" s="7" t="str">
        <f>"070417104"</f>
        <v>070417104</v>
      </c>
      <c r="G1557" s="7" t="s">
        <v>16</v>
      </c>
      <c r="H1557" s="7">
        <v>763</v>
      </c>
      <c r="I1557" s="11">
        <v>0.71</v>
      </c>
    </row>
    <row r="1558" spans="1:9" ht="28.5">
      <c r="A1558" s="7" t="s">
        <v>1891</v>
      </c>
      <c r="B1558" s="7">
        <v>4264</v>
      </c>
      <c r="C1558" s="7" t="str">
        <f>"070417000"</f>
        <v>070417000</v>
      </c>
      <c r="D1558" s="7" t="s">
        <v>1892</v>
      </c>
      <c r="E1558" s="7">
        <v>6240</v>
      </c>
      <c r="F1558" s="7" t="str">
        <f>"070417101"</f>
        <v>070417101</v>
      </c>
      <c r="G1558" s="7" t="s">
        <v>16</v>
      </c>
      <c r="H1558" s="7">
        <v>763</v>
      </c>
      <c r="I1558" s="11">
        <v>0.89</v>
      </c>
    </row>
    <row r="1559" spans="1:9" ht="28.5">
      <c r="A1559" s="7" t="s">
        <v>1891</v>
      </c>
      <c r="B1559" s="7">
        <v>4264</v>
      </c>
      <c r="C1559" s="7" t="str">
        <f>"070417000"</f>
        <v>070417000</v>
      </c>
      <c r="D1559" s="7" t="s">
        <v>1893</v>
      </c>
      <c r="E1559" s="7">
        <v>79402</v>
      </c>
      <c r="F1559" s="7" t="str">
        <f>"070417103"</f>
        <v>070417103</v>
      </c>
      <c r="G1559" s="7" t="s">
        <v>16</v>
      </c>
      <c r="H1559" s="7">
        <v>620</v>
      </c>
      <c r="I1559" s="11">
        <v>0.83</v>
      </c>
    </row>
    <row r="1560" spans="1:9">
      <c r="A1560" s="7" t="s">
        <v>1894</v>
      </c>
      <c r="B1560" s="7">
        <v>4288</v>
      </c>
      <c r="C1560" s="7" t="str">
        <f t="shared" ref="C1560:C1565" si="70">"070514000"</f>
        <v>070514000</v>
      </c>
      <c r="D1560" s="7" t="s">
        <v>1895</v>
      </c>
      <c r="E1560" s="7">
        <v>85810</v>
      </c>
      <c r="F1560" s="7" t="str">
        <f>"070514204"</f>
        <v>070514204</v>
      </c>
      <c r="H1560" s="7">
        <v>2106</v>
      </c>
      <c r="I1560" s="11">
        <v>0.77</v>
      </c>
    </row>
    <row r="1561" spans="1:9">
      <c r="A1561" s="7" t="s">
        <v>1894</v>
      </c>
      <c r="B1561" s="7">
        <v>4288</v>
      </c>
      <c r="C1561" s="7" t="str">
        <f t="shared" si="70"/>
        <v>070514000</v>
      </c>
      <c r="D1561" s="7" t="s">
        <v>1896</v>
      </c>
      <c r="E1561" s="7">
        <v>80051</v>
      </c>
      <c r="F1561" s="7" t="str">
        <f>"070514203"</f>
        <v>070514203</v>
      </c>
      <c r="H1561" s="7">
        <v>2124</v>
      </c>
      <c r="I1561" s="11">
        <v>0.68</v>
      </c>
    </row>
    <row r="1562" spans="1:9">
      <c r="A1562" s="7" t="s">
        <v>1894</v>
      </c>
      <c r="B1562" s="7">
        <v>4288</v>
      </c>
      <c r="C1562" s="7" t="str">
        <f t="shared" si="70"/>
        <v>070514000</v>
      </c>
      <c r="D1562" s="7" t="s">
        <v>1897</v>
      </c>
      <c r="E1562" s="7">
        <v>89908</v>
      </c>
      <c r="F1562" s="7" t="str">
        <f>"070514205"</f>
        <v>070514205</v>
      </c>
      <c r="H1562" s="7">
        <v>1813</v>
      </c>
      <c r="I1562" s="11">
        <v>0.74</v>
      </c>
    </row>
    <row r="1563" spans="1:9">
      <c r="A1563" s="7" t="s">
        <v>1894</v>
      </c>
      <c r="B1563" s="7">
        <v>4288</v>
      </c>
      <c r="C1563" s="7" t="str">
        <f t="shared" si="70"/>
        <v>070514000</v>
      </c>
      <c r="D1563" s="7" t="s">
        <v>1898</v>
      </c>
      <c r="E1563" s="7">
        <v>5452</v>
      </c>
      <c r="F1563" s="7" t="str">
        <f>"070514201"</f>
        <v>070514201</v>
      </c>
      <c r="H1563" s="7">
        <v>2829</v>
      </c>
      <c r="I1563" s="11">
        <v>0.68</v>
      </c>
    </row>
    <row r="1564" spans="1:9">
      <c r="A1564" s="7" t="s">
        <v>1894</v>
      </c>
      <c r="B1564" s="7">
        <v>4288</v>
      </c>
      <c r="C1564" s="7" t="str">
        <f t="shared" si="70"/>
        <v>070514000</v>
      </c>
      <c r="D1564" s="7" t="s">
        <v>1899</v>
      </c>
      <c r="E1564" s="7">
        <v>90085</v>
      </c>
      <c r="F1564" s="7" t="str">
        <f>"070514206"</f>
        <v>070514206</v>
      </c>
      <c r="H1564" s="7">
        <v>2801</v>
      </c>
      <c r="I1564" s="11">
        <v>0.65</v>
      </c>
    </row>
    <row r="1565" spans="1:9">
      <c r="A1565" s="7" t="s">
        <v>1894</v>
      </c>
      <c r="B1565" s="7">
        <v>4288</v>
      </c>
      <c r="C1565" s="7" t="str">
        <f t="shared" si="70"/>
        <v>070514000</v>
      </c>
      <c r="D1565" s="7" t="s">
        <v>1900</v>
      </c>
      <c r="E1565" s="7">
        <v>5453</v>
      </c>
      <c r="F1565" s="7" t="str">
        <f>"070514202"</f>
        <v>070514202</v>
      </c>
      <c r="H1565" s="7">
        <v>1683</v>
      </c>
      <c r="I1565" s="11">
        <v>0.67</v>
      </c>
    </row>
    <row r="1566" spans="1:9" ht="28.5">
      <c r="A1566" s="7" t="s">
        <v>1901</v>
      </c>
      <c r="B1566" s="7">
        <v>4450</v>
      </c>
      <c r="C1566" s="7" t="str">
        <f>"110422000"</f>
        <v>110422000</v>
      </c>
      <c r="D1566" s="7" t="s">
        <v>1902</v>
      </c>
      <c r="E1566" s="7">
        <v>92244</v>
      </c>
      <c r="F1566" s="7" t="str">
        <f>"110422105"</f>
        <v>110422105</v>
      </c>
      <c r="G1566" s="7" t="s">
        <v>16</v>
      </c>
      <c r="H1566" s="7">
        <v>834</v>
      </c>
      <c r="I1566" s="11">
        <v>0.86</v>
      </c>
    </row>
    <row r="1567" spans="1:9" ht="28.5">
      <c r="A1567" s="7" t="s">
        <v>1901</v>
      </c>
      <c r="B1567" s="7">
        <v>4450</v>
      </c>
      <c r="C1567" s="7" t="str">
        <f>"110422000"</f>
        <v>110422000</v>
      </c>
      <c r="D1567" s="7" t="s">
        <v>1903</v>
      </c>
      <c r="E1567" s="7">
        <v>5945</v>
      </c>
      <c r="F1567" s="7" t="str">
        <f>"110422101"</f>
        <v>110422101</v>
      </c>
      <c r="G1567" s="7" t="s">
        <v>16</v>
      </c>
      <c r="H1567" s="7">
        <v>436</v>
      </c>
      <c r="I1567" s="11">
        <v>0.83</v>
      </c>
    </row>
    <row r="1568" spans="1:9" ht="28.5">
      <c r="A1568" s="7" t="s">
        <v>1904</v>
      </c>
      <c r="B1568" s="7">
        <v>4168</v>
      </c>
      <c r="C1568" s="7" t="str">
        <f>"020201000"</f>
        <v>020201000</v>
      </c>
      <c r="D1568" s="7" t="s">
        <v>1905</v>
      </c>
      <c r="E1568" s="7">
        <v>4749</v>
      </c>
      <c r="F1568" s="7" t="str">
        <f>"020201101"</f>
        <v>020201101</v>
      </c>
      <c r="G1568" s="7" t="s">
        <v>16</v>
      </c>
      <c r="H1568" s="7">
        <v>253</v>
      </c>
      <c r="I1568" s="12">
        <v>0.72</v>
      </c>
    </row>
    <row r="1569" spans="1:9">
      <c r="A1569" s="7" t="s">
        <v>1904</v>
      </c>
      <c r="B1569" s="7">
        <v>4168</v>
      </c>
      <c r="C1569" s="7" t="str">
        <f>"020201000"</f>
        <v>020201000</v>
      </c>
      <c r="D1569" s="7" t="s">
        <v>1906</v>
      </c>
      <c r="E1569" s="7">
        <v>4751</v>
      </c>
      <c r="F1569" s="7" t="str">
        <f>"020201207"</f>
        <v>020201207</v>
      </c>
      <c r="H1569" s="7">
        <v>458</v>
      </c>
      <c r="I1569" s="11">
        <v>0.43</v>
      </c>
    </row>
    <row r="1570" spans="1:9" ht="28.5">
      <c r="A1570" s="7" t="s">
        <v>1904</v>
      </c>
      <c r="B1570" s="7">
        <v>4168</v>
      </c>
      <c r="C1570" s="7" t="str">
        <f>"020201000"</f>
        <v>020201000</v>
      </c>
      <c r="D1570" s="7" t="s">
        <v>1907</v>
      </c>
      <c r="E1570" s="7">
        <v>4750</v>
      </c>
      <c r="F1570" s="7" t="str">
        <f>"020201102"</f>
        <v>020201102</v>
      </c>
      <c r="G1570" s="7" t="s">
        <v>16</v>
      </c>
      <c r="H1570" s="7">
        <v>179</v>
      </c>
      <c r="I1570" s="12">
        <v>0.78</v>
      </c>
    </row>
    <row r="1571" spans="1:9" ht="28.5">
      <c r="A1571" s="7" t="s">
        <v>1908</v>
      </c>
      <c r="B1571" s="7">
        <v>8577</v>
      </c>
      <c r="C1571" s="7" t="str">
        <f>"034001000"</f>
        <v>034001000</v>
      </c>
      <c r="D1571" s="7" t="s">
        <v>1908</v>
      </c>
      <c r="E1571" s="7">
        <v>80405</v>
      </c>
      <c r="F1571" s="7" t="str">
        <f>"033904005"</f>
        <v>033904005</v>
      </c>
      <c r="G1571" s="7" t="s">
        <v>16</v>
      </c>
      <c r="H1571" s="7">
        <v>137</v>
      </c>
      <c r="I1571" s="11" t="s">
        <v>17</v>
      </c>
    </row>
    <row r="1572" spans="1:9">
      <c r="A1572" s="7" t="s">
        <v>1909</v>
      </c>
      <c r="B1572" s="7">
        <v>4215</v>
      </c>
      <c r="C1572" s="7" t="str">
        <f>"040333000"</f>
        <v>040333000</v>
      </c>
      <c r="D1572" s="7" t="s">
        <v>1910</v>
      </c>
      <c r="E1572" s="7">
        <v>4877</v>
      </c>
      <c r="F1572" s="7" t="str">
        <f>"040333101"</f>
        <v>040333101</v>
      </c>
      <c r="H1572" s="7">
        <v>80</v>
      </c>
      <c r="I1572" s="11">
        <v>0.85</v>
      </c>
    </row>
    <row r="1573" spans="1:9" ht="28.5">
      <c r="A1573" s="7" t="s">
        <v>1911</v>
      </c>
      <c r="B1573" s="7">
        <v>4376</v>
      </c>
      <c r="C1573" s="7" t="str">
        <f>"080412000"</f>
        <v>080412000</v>
      </c>
      <c r="D1573" s="7" t="s">
        <v>1912</v>
      </c>
      <c r="E1573" s="7">
        <v>5581</v>
      </c>
      <c r="F1573" s="7" t="str">
        <f>"080412012"</f>
        <v>080412012</v>
      </c>
      <c r="G1573" s="7" t="s">
        <v>16</v>
      </c>
      <c r="H1573" s="7">
        <v>145</v>
      </c>
      <c r="I1573" s="11">
        <v>0.71</v>
      </c>
    </row>
    <row r="1574" spans="1:9">
      <c r="A1574" s="7" t="s">
        <v>1913</v>
      </c>
      <c r="B1574" s="7">
        <v>91917</v>
      </c>
      <c r="C1574" s="7" t="str">
        <f>"072078000"</f>
        <v>072078000</v>
      </c>
      <c r="D1574" s="7" t="s">
        <v>1913</v>
      </c>
      <c r="E1574" s="7">
        <v>91918</v>
      </c>
      <c r="F1574" s="7" t="str">
        <f>"072078001"</f>
        <v>072078001</v>
      </c>
      <c r="H1574" s="7">
        <v>429</v>
      </c>
      <c r="I1574" s="11">
        <v>0.59</v>
      </c>
    </row>
    <row r="1575" spans="1:9" ht="28.5">
      <c r="A1575" s="7" t="s">
        <v>1914</v>
      </c>
      <c r="B1575" s="7">
        <v>8578</v>
      </c>
      <c r="C1575" s="7" t="str">
        <f>"034002000"</f>
        <v>034002000</v>
      </c>
      <c r="D1575" s="7" t="s">
        <v>1914</v>
      </c>
      <c r="E1575" s="7">
        <v>80411</v>
      </c>
      <c r="F1575" s="7" t="str">
        <f>"033904007"</f>
        <v>033904007</v>
      </c>
      <c r="G1575" s="7" t="s">
        <v>16</v>
      </c>
      <c r="H1575" s="7">
        <v>1042</v>
      </c>
      <c r="I1575" s="11">
        <v>0.96</v>
      </c>
    </row>
    <row r="1576" spans="1:9" ht="28.5">
      <c r="A1576" s="7" t="s">
        <v>1915</v>
      </c>
      <c r="B1576" s="7">
        <v>4197</v>
      </c>
      <c r="C1576" s="7" t="str">
        <f t="shared" ref="C1576:C1581" si="71">"030215000"</f>
        <v>030215000</v>
      </c>
      <c r="D1576" s="7" t="s">
        <v>1916</v>
      </c>
      <c r="E1576" s="7">
        <v>4834</v>
      </c>
      <c r="F1576" s="7" t="str">
        <f>"030215111"</f>
        <v>030215111</v>
      </c>
      <c r="G1576" s="7" t="s">
        <v>16</v>
      </c>
      <c r="H1576" s="7">
        <v>36</v>
      </c>
      <c r="I1576" s="11" t="s">
        <v>17</v>
      </c>
    </row>
    <row r="1577" spans="1:9" ht="28.5">
      <c r="A1577" s="7" t="s">
        <v>1915</v>
      </c>
      <c r="B1577" s="7">
        <v>4197</v>
      </c>
      <c r="C1577" s="7" t="str">
        <f t="shared" si="71"/>
        <v>030215000</v>
      </c>
      <c r="D1577" s="7" t="s">
        <v>1917</v>
      </c>
      <c r="E1577" s="7">
        <v>78916</v>
      </c>
      <c r="F1577" s="7" t="str">
        <f>"030215140"</f>
        <v>030215140</v>
      </c>
      <c r="G1577" s="7" t="s">
        <v>16</v>
      </c>
      <c r="H1577" s="7">
        <v>37</v>
      </c>
      <c r="I1577" s="11">
        <v>0.74</v>
      </c>
    </row>
    <row r="1578" spans="1:9" ht="28.5">
      <c r="A1578" s="7" t="s">
        <v>1915</v>
      </c>
      <c r="B1578" s="7">
        <v>4197</v>
      </c>
      <c r="C1578" s="7" t="str">
        <f t="shared" si="71"/>
        <v>030215000</v>
      </c>
      <c r="D1578" s="7" t="s">
        <v>1918</v>
      </c>
      <c r="E1578" s="7">
        <v>4835</v>
      </c>
      <c r="F1578" s="7" t="str">
        <f>"030215112"</f>
        <v>030215112</v>
      </c>
      <c r="G1578" s="7" t="s">
        <v>16</v>
      </c>
      <c r="H1578" s="7">
        <v>33</v>
      </c>
      <c r="I1578" s="11" t="s">
        <v>17</v>
      </c>
    </row>
    <row r="1579" spans="1:9" ht="28.5">
      <c r="A1579" s="7" t="s">
        <v>1915</v>
      </c>
      <c r="B1579" s="7">
        <v>4197</v>
      </c>
      <c r="C1579" s="7" t="str">
        <f t="shared" si="71"/>
        <v>030215000</v>
      </c>
      <c r="D1579" s="7" t="s">
        <v>1919</v>
      </c>
      <c r="E1579" s="7">
        <v>4833</v>
      </c>
      <c r="F1579" s="7" t="str">
        <f>"030215110"</f>
        <v>030215110</v>
      </c>
      <c r="G1579" s="7" t="s">
        <v>16</v>
      </c>
      <c r="H1579" s="7">
        <v>405</v>
      </c>
      <c r="I1579" s="11" t="s">
        <v>17</v>
      </c>
    </row>
    <row r="1580" spans="1:9" ht="28.5">
      <c r="A1580" s="7" t="s">
        <v>1915</v>
      </c>
      <c r="B1580" s="7">
        <v>4197</v>
      </c>
      <c r="C1580" s="7" t="str">
        <f t="shared" si="71"/>
        <v>030215000</v>
      </c>
      <c r="D1580" s="7" t="s">
        <v>1920</v>
      </c>
      <c r="E1580" s="7">
        <v>4838</v>
      </c>
      <c r="F1580" s="7" t="str">
        <f>"030215240"</f>
        <v>030215240</v>
      </c>
      <c r="G1580" s="7" t="s">
        <v>16</v>
      </c>
      <c r="H1580" s="7">
        <v>701</v>
      </c>
      <c r="I1580" s="11">
        <v>0.89</v>
      </c>
    </row>
    <row r="1581" spans="1:9" ht="28.5">
      <c r="A1581" s="7" t="s">
        <v>1915</v>
      </c>
      <c r="B1581" s="7">
        <v>4197</v>
      </c>
      <c r="C1581" s="7" t="str">
        <f t="shared" si="71"/>
        <v>030215000</v>
      </c>
      <c r="D1581" s="7" t="s">
        <v>1921</v>
      </c>
      <c r="E1581" s="7">
        <v>4837</v>
      </c>
      <c r="F1581" s="7" t="str">
        <f>"030215130"</f>
        <v>030215130</v>
      </c>
      <c r="G1581" s="7" t="s">
        <v>16</v>
      </c>
      <c r="H1581" s="7">
        <v>252</v>
      </c>
      <c r="I1581" s="11" t="s">
        <v>17</v>
      </c>
    </row>
    <row r="1582" spans="1:9">
      <c r="A1582" s="7" t="s">
        <v>1922</v>
      </c>
      <c r="B1582" s="7">
        <v>79073</v>
      </c>
      <c r="C1582" s="7" t="str">
        <f>"108773000"</f>
        <v>108773000</v>
      </c>
      <c r="D1582" s="7" t="s">
        <v>1923</v>
      </c>
      <c r="E1582" s="7">
        <v>79103</v>
      </c>
      <c r="F1582" s="7" t="str">
        <f>"108773101"</f>
        <v>108773101</v>
      </c>
      <c r="H1582" s="7">
        <v>551</v>
      </c>
      <c r="I1582" s="11">
        <v>0.39</v>
      </c>
    </row>
    <row r="1583" spans="1:9" ht="28.5">
      <c r="A1583" s="7" t="s">
        <v>1924</v>
      </c>
      <c r="B1583" s="7">
        <v>79979</v>
      </c>
      <c r="C1583" s="7" t="str">
        <f>"108714000"</f>
        <v>108714000</v>
      </c>
      <c r="D1583" s="7" t="s">
        <v>1925</v>
      </c>
      <c r="E1583" s="7">
        <v>90044</v>
      </c>
      <c r="F1583" s="7" t="str">
        <f>"108714103"</f>
        <v>108714103</v>
      </c>
      <c r="G1583" s="7" t="s">
        <v>16</v>
      </c>
      <c r="H1583" s="7">
        <v>72</v>
      </c>
      <c r="I1583" s="11" t="s">
        <v>17</v>
      </c>
    </row>
    <row r="1584" spans="1:9" ht="28.5">
      <c r="A1584" s="7" t="s">
        <v>1924</v>
      </c>
      <c r="B1584" s="7">
        <v>79979</v>
      </c>
      <c r="C1584" s="7" t="str">
        <f>"108714000"</f>
        <v>108714000</v>
      </c>
      <c r="D1584" s="7" t="s">
        <v>1926</v>
      </c>
      <c r="E1584" s="7">
        <v>90045</v>
      </c>
      <c r="F1584" s="7" t="str">
        <f>"108714104"</f>
        <v>108714104</v>
      </c>
      <c r="G1584" s="7" t="s">
        <v>16</v>
      </c>
      <c r="H1584" s="7">
        <v>117</v>
      </c>
      <c r="I1584" s="11">
        <v>0.72</v>
      </c>
    </row>
    <row r="1585" spans="1:9" ht="28.5">
      <c r="A1585" s="7" t="s">
        <v>1924</v>
      </c>
      <c r="B1585" s="7">
        <v>79979</v>
      </c>
      <c r="C1585" s="7" t="str">
        <f>"108714000"</f>
        <v>108714000</v>
      </c>
      <c r="D1585" s="7" t="s">
        <v>1927</v>
      </c>
      <c r="E1585" s="7">
        <v>79980</v>
      </c>
      <c r="F1585" s="7" t="str">
        <f>"108714101"</f>
        <v>108714101</v>
      </c>
      <c r="G1585" s="7" t="s">
        <v>16</v>
      </c>
      <c r="H1585" s="7">
        <v>65</v>
      </c>
      <c r="I1585" s="11">
        <v>0.69</v>
      </c>
    </row>
    <row r="1586" spans="1:9" ht="28.5">
      <c r="A1586" s="7" t="s">
        <v>1924</v>
      </c>
      <c r="B1586" s="7">
        <v>79979</v>
      </c>
      <c r="C1586" s="7" t="str">
        <f>"108714000"</f>
        <v>108714000</v>
      </c>
      <c r="D1586" s="7" t="s">
        <v>1928</v>
      </c>
      <c r="E1586" s="7">
        <v>84297</v>
      </c>
      <c r="F1586" s="7" t="str">
        <f>"108714102"</f>
        <v>108714102</v>
      </c>
      <c r="G1586" s="7" t="s">
        <v>16</v>
      </c>
      <c r="H1586" s="7">
        <v>143</v>
      </c>
      <c r="I1586" s="11">
        <v>0.7</v>
      </c>
    </row>
    <row r="1587" spans="1:9" ht="28.5">
      <c r="A1587" s="7" t="s">
        <v>1929</v>
      </c>
      <c r="B1587" s="7">
        <v>4403</v>
      </c>
      <c r="C1587" s="7" t="str">
        <f t="shared" ref="C1587:C1650" si="72">"100201000"</f>
        <v>100201000</v>
      </c>
      <c r="D1587" s="7" t="s">
        <v>1930</v>
      </c>
      <c r="E1587" s="7">
        <v>5750</v>
      </c>
      <c r="F1587" s="7" t="str">
        <f>"100201555"</f>
        <v>100201555</v>
      </c>
      <c r="G1587" s="7" t="s">
        <v>16</v>
      </c>
      <c r="H1587" s="7">
        <v>584</v>
      </c>
      <c r="I1587" s="12">
        <v>0.74</v>
      </c>
    </row>
    <row r="1588" spans="1:9" ht="28.5">
      <c r="A1588" s="7" t="s">
        <v>1929</v>
      </c>
      <c r="B1588" s="7">
        <v>4403</v>
      </c>
      <c r="C1588" s="7" t="str">
        <f t="shared" si="72"/>
        <v>100201000</v>
      </c>
      <c r="D1588" s="7" t="s">
        <v>1931</v>
      </c>
      <c r="E1588" s="7">
        <v>5685</v>
      </c>
      <c r="F1588" s="7" t="str">
        <f>"100201238"</f>
        <v>100201238</v>
      </c>
      <c r="G1588" s="7" t="s">
        <v>16</v>
      </c>
      <c r="H1588" s="7">
        <v>248</v>
      </c>
      <c r="I1588" s="12">
        <v>0.69</v>
      </c>
    </row>
    <row r="1589" spans="1:9" ht="28.5">
      <c r="A1589" s="7" t="s">
        <v>1929</v>
      </c>
      <c r="B1589" s="7">
        <v>4403</v>
      </c>
      <c r="C1589" s="7" t="str">
        <f t="shared" si="72"/>
        <v>100201000</v>
      </c>
      <c r="D1589" s="7" t="s">
        <v>1932</v>
      </c>
      <c r="E1589" s="7">
        <v>5694</v>
      </c>
      <c r="F1589" s="7" t="str">
        <f>"100201277"</f>
        <v>100201277</v>
      </c>
      <c r="G1589" s="7" t="s">
        <v>16</v>
      </c>
      <c r="H1589" s="7">
        <v>261</v>
      </c>
      <c r="I1589" s="11" t="s">
        <v>17</v>
      </c>
    </row>
    <row r="1590" spans="1:9">
      <c r="A1590" s="7" t="s">
        <v>1929</v>
      </c>
      <c r="B1590" s="7">
        <v>4403</v>
      </c>
      <c r="C1590" s="7" t="str">
        <f t="shared" si="72"/>
        <v>100201000</v>
      </c>
      <c r="D1590" s="7" t="s">
        <v>1933</v>
      </c>
      <c r="E1590" s="7">
        <v>5693</v>
      </c>
      <c r="F1590" s="7" t="str">
        <f>"100201275"</f>
        <v>100201275</v>
      </c>
      <c r="H1590" s="7">
        <v>388</v>
      </c>
      <c r="I1590" s="11">
        <v>0.71</v>
      </c>
    </row>
    <row r="1591" spans="1:9" ht="28.5">
      <c r="A1591" s="7" t="s">
        <v>1929</v>
      </c>
      <c r="B1591" s="7">
        <v>4403</v>
      </c>
      <c r="C1591" s="7" t="str">
        <f t="shared" si="72"/>
        <v>100201000</v>
      </c>
      <c r="D1591" s="7" t="s">
        <v>1934</v>
      </c>
      <c r="E1591" s="7">
        <v>5659</v>
      </c>
      <c r="F1591" s="7" t="str">
        <f>"100201125"</f>
        <v>100201125</v>
      </c>
      <c r="G1591" s="7" t="s">
        <v>16</v>
      </c>
      <c r="H1591" s="7">
        <v>293</v>
      </c>
      <c r="I1591" s="11" t="s">
        <v>17</v>
      </c>
    </row>
    <row r="1592" spans="1:9" ht="28.5">
      <c r="A1592" s="7" t="s">
        <v>1929</v>
      </c>
      <c r="B1592" s="7">
        <v>4403</v>
      </c>
      <c r="C1592" s="7" t="str">
        <f t="shared" si="72"/>
        <v>100201000</v>
      </c>
      <c r="D1592" s="7" t="s">
        <v>1935</v>
      </c>
      <c r="E1592" s="7">
        <v>5660</v>
      </c>
      <c r="F1592" s="7" t="str">
        <f>"100201128"</f>
        <v>100201128</v>
      </c>
      <c r="G1592" s="7" t="s">
        <v>16</v>
      </c>
      <c r="H1592" s="7">
        <v>367</v>
      </c>
      <c r="I1592" s="12">
        <v>0.72</v>
      </c>
    </row>
    <row r="1593" spans="1:9" ht="28.5">
      <c r="A1593" s="7" t="s">
        <v>1929</v>
      </c>
      <c r="B1593" s="7">
        <v>4403</v>
      </c>
      <c r="C1593" s="7" t="str">
        <f t="shared" si="72"/>
        <v>100201000</v>
      </c>
      <c r="D1593" s="7" t="s">
        <v>1936</v>
      </c>
      <c r="E1593" s="7">
        <v>5661</v>
      </c>
      <c r="F1593" s="7" t="str">
        <f>"100201131"</f>
        <v>100201131</v>
      </c>
      <c r="G1593" s="7" t="s">
        <v>16</v>
      </c>
      <c r="H1593" s="7">
        <v>387</v>
      </c>
      <c r="I1593" s="12">
        <v>0.8</v>
      </c>
    </row>
    <row r="1594" spans="1:9" ht="28.5">
      <c r="A1594" s="7" t="s">
        <v>1929</v>
      </c>
      <c r="B1594" s="7">
        <v>4403</v>
      </c>
      <c r="C1594" s="7" t="str">
        <f t="shared" si="72"/>
        <v>100201000</v>
      </c>
      <c r="D1594" s="7" t="s">
        <v>1937</v>
      </c>
      <c r="E1594" s="7">
        <v>5738</v>
      </c>
      <c r="F1594" s="7" t="str">
        <f>"100201510"</f>
        <v>100201510</v>
      </c>
      <c r="G1594" s="7" t="s">
        <v>16</v>
      </c>
      <c r="H1594" s="7">
        <v>375</v>
      </c>
      <c r="I1594" s="12">
        <v>0.84</v>
      </c>
    </row>
    <row r="1595" spans="1:9">
      <c r="A1595" s="7" t="s">
        <v>1929</v>
      </c>
      <c r="B1595" s="7">
        <v>4403</v>
      </c>
      <c r="C1595" s="7" t="str">
        <f t="shared" si="72"/>
        <v>100201000</v>
      </c>
      <c r="D1595" s="7" t="s">
        <v>1938</v>
      </c>
      <c r="E1595" s="7">
        <v>5663</v>
      </c>
      <c r="F1595" s="7" t="str">
        <f>"100201140"</f>
        <v>100201140</v>
      </c>
      <c r="H1595" s="7">
        <v>467</v>
      </c>
      <c r="I1595" s="11">
        <v>0.37</v>
      </c>
    </row>
    <row r="1596" spans="1:9">
      <c r="A1596" s="7" t="s">
        <v>1929</v>
      </c>
      <c r="B1596" s="7">
        <v>4403</v>
      </c>
      <c r="C1596" s="7" t="str">
        <f t="shared" si="72"/>
        <v>100201000</v>
      </c>
      <c r="D1596" s="7" t="s">
        <v>1939</v>
      </c>
      <c r="E1596" s="7">
        <v>5664</v>
      </c>
      <c r="F1596" s="7" t="str">
        <f>"100201143"</f>
        <v>100201143</v>
      </c>
      <c r="H1596" s="7">
        <v>280</v>
      </c>
      <c r="I1596" s="11">
        <v>0.65</v>
      </c>
    </row>
    <row r="1597" spans="1:9" ht="28.5">
      <c r="A1597" s="7" t="s">
        <v>1929</v>
      </c>
      <c r="B1597" s="7">
        <v>4403</v>
      </c>
      <c r="C1597" s="7" t="str">
        <f t="shared" si="72"/>
        <v>100201000</v>
      </c>
      <c r="D1597" s="7" t="s">
        <v>1940</v>
      </c>
      <c r="E1597" s="7">
        <v>5715</v>
      </c>
      <c r="F1597" s="7" t="str">
        <f>"100201371"</f>
        <v>100201371</v>
      </c>
      <c r="G1597" s="7" t="s">
        <v>16</v>
      </c>
      <c r="H1597" s="7">
        <v>776</v>
      </c>
      <c r="I1597" s="12">
        <v>0.87</v>
      </c>
    </row>
    <row r="1598" spans="1:9">
      <c r="A1598" s="7" t="s">
        <v>1929</v>
      </c>
      <c r="B1598" s="7">
        <v>4403</v>
      </c>
      <c r="C1598" s="7" t="str">
        <f t="shared" si="72"/>
        <v>100201000</v>
      </c>
      <c r="D1598" s="7" t="s">
        <v>1941</v>
      </c>
      <c r="E1598" s="7">
        <v>5666</v>
      </c>
      <c r="F1598" s="7" t="str">
        <f>"100201161"</f>
        <v>100201161</v>
      </c>
      <c r="H1598" s="7">
        <v>304</v>
      </c>
      <c r="I1598" s="11">
        <v>0.68</v>
      </c>
    </row>
    <row r="1599" spans="1:9" ht="28.5">
      <c r="A1599" s="7" t="s">
        <v>1929</v>
      </c>
      <c r="B1599" s="7">
        <v>4403</v>
      </c>
      <c r="C1599" s="7" t="str">
        <f t="shared" si="72"/>
        <v>100201000</v>
      </c>
      <c r="D1599" s="7" t="s">
        <v>1942</v>
      </c>
      <c r="E1599" s="7">
        <v>5756</v>
      </c>
      <c r="F1599" s="7" t="str">
        <f>"100201610"</f>
        <v>100201610</v>
      </c>
      <c r="G1599" s="7" t="s">
        <v>16</v>
      </c>
      <c r="H1599" s="7">
        <v>631</v>
      </c>
      <c r="I1599" s="12">
        <v>0.83</v>
      </c>
    </row>
    <row r="1600" spans="1:9" ht="28.5">
      <c r="A1600" s="7" t="s">
        <v>1929</v>
      </c>
      <c r="B1600" s="7">
        <v>4403</v>
      </c>
      <c r="C1600" s="7" t="str">
        <f t="shared" si="72"/>
        <v>100201000</v>
      </c>
      <c r="D1600" s="7" t="s">
        <v>1943</v>
      </c>
      <c r="E1600" s="7">
        <v>5667</v>
      </c>
      <c r="F1600" s="7" t="str">
        <f>"100201167"</f>
        <v>100201167</v>
      </c>
      <c r="G1600" s="7" t="s">
        <v>16</v>
      </c>
      <c r="H1600" s="7">
        <v>216</v>
      </c>
      <c r="I1600" s="11" t="s">
        <v>17</v>
      </c>
    </row>
    <row r="1601" spans="1:9">
      <c r="A1601" s="7" t="s">
        <v>1929</v>
      </c>
      <c r="B1601" s="7">
        <v>4403</v>
      </c>
      <c r="C1601" s="7" t="str">
        <f t="shared" si="72"/>
        <v>100201000</v>
      </c>
      <c r="D1601" s="7" t="s">
        <v>1944</v>
      </c>
      <c r="E1601" s="7">
        <v>5757</v>
      </c>
      <c r="F1601" s="7" t="str">
        <f>"100201615"</f>
        <v>100201615</v>
      </c>
      <c r="H1601" s="7">
        <v>1706</v>
      </c>
      <c r="I1601" s="11">
        <v>0.75</v>
      </c>
    </row>
    <row r="1602" spans="1:9">
      <c r="A1602" s="7" t="s">
        <v>1929</v>
      </c>
      <c r="B1602" s="7">
        <v>4403</v>
      </c>
      <c r="C1602" s="7" t="str">
        <f t="shared" si="72"/>
        <v>100201000</v>
      </c>
      <c r="D1602" s="7" t="s">
        <v>1083</v>
      </c>
      <c r="E1602" s="7">
        <v>5668</v>
      </c>
      <c r="F1602" s="7" t="str">
        <f>"100201170"</f>
        <v>100201170</v>
      </c>
      <c r="H1602" s="7">
        <v>113</v>
      </c>
      <c r="I1602" s="11">
        <v>0.57999999999999996</v>
      </c>
    </row>
    <row r="1603" spans="1:9" ht="28.5">
      <c r="A1603" s="7" t="s">
        <v>1929</v>
      </c>
      <c r="B1603" s="7">
        <v>4403</v>
      </c>
      <c r="C1603" s="7" t="str">
        <f t="shared" si="72"/>
        <v>100201000</v>
      </c>
      <c r="D1603" s="7" t="s">
        <v>1945</v>
      </c>
      <c r="E1603" s="7">
        <v>5670</v>
      </c>
      <c r="F1603" s="7" t="str">
        <f>"100201179"</f>
        <v>100201179</v>
      </c>
      <c r="G1603" s="7" t="s">
        <v>16</v>
      </c>
      <c r="H1603" s="7">
        <v>280</v>
      </c>
      <c r="I1603" s="11" t="s">
        <v>17</v>
      </c>
    </row>
    <row r="1604" spans="1:9" ht="28.5">
      <c r="A1604" s="7" t="s">
        <v>1929</v>
      </c>
      <c r="B1604" s="7">
        <v>4403</v>
      </c>
      <c r="C1604" s="7" t="str">
        <f t="shared" si="72"/>
        <v>100201000</v>
      </c>
      <c r="D1604" s="7" t="s">
        <v>1946</v>
      </c>
      <c r="E1604" s="7">
        <v>5671</v>
      </c>
      <c r="F1604" s="7" t="str">
        <f>"100201185"</f>
        <v>100201185</v>
      </c>
      <c r="G1604" s="7" t="s">
        <v>16</v>
      </c>
      <c r="H1604" s="7">
        <v>259</v>
      </c>
      <c r="I1604" s="11" t="s">
        <v>17</v>
      </c>
    </row>
    <row r="1605" spans="1:9">
      <c r="A1605" s="7" t="s">
        <v>1929</v>
      </c>
      <c r="B1605" s="7">
        <v>4403</v>
      </c>
      <c r="C1605" s="7" t="str">
        <f t="shared" si="72"/>
        <v>100201000</v>
      </c>
      <c r="D1605" s="7" t="s">
        <v>1947</v>
      </c>
      <c r="E1605" s="7">
        <v>5672</v>
      </c>
      <c r="F1605" s="7" t="str">
        <f>"100201191"</f>
        <v>100201191</v>
      </c>
      <c r="H1605" s="7">
        <v>308</v>
      </c>
      <c r="I1605" s="11">
        <v>0.49</v>
      </c>
    </row>
    <row r="1606" spans="1:9" ht="28.5">
      <c r="A1606" s="7" t="s">
        <v>1929</v>
      </c>
      <c r="B1606" s="7">
        <v>4403</v>
      </c>
      <c r="C1606" s="7" t="str">
        <f t="shared" si="72"/>
        <v>100201000</v>
      </c>
      <c r="D1606" s="7" t="s">
        <v>1948</v>
      </c>
      <c r="E1606" s="7">
        <v>5673</v>
      </c>
      <c r="F1606" s="7" t="str">
        <f>"100201197"</f>
        <v>100201197</v>
      </c>
      <c r="G1606" s="7" t="s">
        <v>16</v>
      </c>
      <c r="H1606" s="7">
        <v>358</v>
      </c>
      <c r="I1606" s="11" t="s">
        <v>17</v>
      </c>
    </row>
    <row r="1607" spans="1:9" ht="28.5">
      <c r="A1607" s="7" t="s">
        <v>1929</v>
      </c>
      <c r="B1607" s="7">
        <v>4403</v>
      </c>
      <c r="C1607" s="7" t="str">
        <f t="shared" si="72"/>
        <v>100201000</v>
      </c>
      <c r="D1607" s="7" t="s">
        <v>1949</v>
      </c>
      <c r="E1607" s="7">
        <v>5737</v>
      </c>
      <c r="F1607" s="7" t="str">
        <f>"100201505"</f>
        <v>100201505</v>
      </c>
      <c r="G1607" s="7" t="s">
        <v>16</v>
      </c>
      <c r="H1607" s="7">
        <v>492</v>
      </c>
      <c r="I1607" s="12">
        <v>0.9</v>
      </c>
    </row>
    <row r="1608" spans="1:9" ht="28.5">
      <c r="A1608" s="7" t="s">
        <v>1929</v>
      </c>
      <c r="B1608" s="7">
        <v>4403</v>
      </c>
      <c r="C1608" s="7" t="str">
        <f t="shared" si="72"/>
        <v>100201000</v>
      </c>
      <c r="D1608" s="7" t="s">
        <v>1950</v>
      </c>
      <c r="E1608" s="7">
        <v>5674</v>
      </c>
      <c r="F1608" s="7" t="str">
        <f>"100201203"</f>
        <v>100201203</v>
      </c>
      <c r="G1608" s="7" t="s">
        <v>16</v>
      </c>
      <c r="H1608" s="7">
        <v>313</v>
      </c>
      <c r="I1608" s="12">
        <v>0.81</v>
      </c>
    </row>
    <row r="1609" spans="1:9" ht="28.5">
      <c r="A1609" s="7" t="s">
        <v>1929</v>
      </c>
      <c r="B1609" s="7">
        <v>4403</v>
      </c>
      <c r="C1609" s="7" t="str">
        <f t="shared" si="72"/>
        <v>100201000</v>
      </c>
      <c r="D1609" s="7" t="s">
        <v>1951</v>
      </c>
      <c r="E1609" s="7">
        <v>5676</v>
      </c>
      <c r="F1609" s="7" t="str">
        <f>"100201211"</f>
        <v>100201211</v>
      </c>
      <c r="G1609" s="7" t="s">
        <v>16</v>
      </c>
      <c r="H1609" s="7">
        <v>161</v>
      </c>
      <c r="I1609" s="12">
        <v>0.69</v>
      </c>
    </row>
    <row r="1610" spans="1:9" ht="28.5">
      <c r="A1610" s="7" t="s">
        <v>1929</v>
      </c>
      <c r="B1610" s="7">
        <v>4403</v>
      </c>
      <c r="C1610" s="7" t="str">
        <f t="shared" si="72"/>
        <v>100201000</v>
      </c>
      <c r="D1610" s="7" t="s">
        <v>1952</v>
      </c>
      <c r="E1610" s="7">
        <v>5678</v>
      </c>
      <c r="F1610" s="7" t="str">
        <f>"100201218"</f>
        <v>100201218</v>
      </c>
      <c r="G1610" s="7" t="s">
        <v>16</v>
      </c>
      <c r="H1610" s="7">
        <v>215</v>
      </c>
      <c r="I1610" s="12">
        <v>0.83</v>
      </c>
    </row>
    <row r="1611" spans="1:9" ht="28.5">
      <c r="A1611" s="7" t="s">
        <v>1929</v>
      </c>
      <c r="B1611" s="7">
        <v>4403</v>
      </c>
      <c r="C1611" s="7" t="str">
        <f t="shared" si="72"/>
        <v>100201000</v>
      </c>
      <c r="D1611" s="7" t="s">
        <v>1953</v>
      </c>
      <c r="E1611" s="7">
        <v>5729</v>
      </c>
      <c r="F1611" s="7" t="str">
        <f>"100201440"</f>
        <v>100201440</v>
      </c>
      <c r="G1611" s="7" t="s">
        <v>16</v>
      </c>
      <c r="H1611" s="7">
        <v>194</v>
      </c>
      <c r="I1611" s="12">
        <v>0.96</v>
      </c>
    </row>
    <row r="1612" spans="1:9">
      <c r="A1612" s="7" t="s">
        <v>1929</v>
      </c>
      <c r="B1612" s="7">
        <v>4403</v>
      </c>
      <c r="C1612" s="7" t="str">
        <f t="shared" si="72"/>
        <v>100201000</v>
      </c>
      <c r="D1612" s="7" t="s">
        <v>1954</v>
      </c>
      <c r="E1612" s="7">
        <v>5680</v>
      </c>
      <c r="F1612" s="7" t="str">
        <f>"100201225"</f>
        <v>100201225</v>
      </c>
      <c r="H1612" s="7">
        <v>330</v>
      </c>
      <c r="I1612" s="11">
        <v>0.35</v>
      </c>
    </row>
    <row r="1613" spans="1:9">
      <c r="A1613" s="7" t="s">
        <v>1929</v>
      </c>
      <c r="B1613" s="7">
        <v>4403</v>
      </c>
      <c r="C1613" s="7" t="str">
        <f t="shared" si="72"/>
        <v>100201000</v>
      </c>
      <c r="D1613" s="7" t="s">
        <v>1955</v>
      </c>
      <c r="E1613" s="7">
        <v>5681</v>
      </c>
      <c r="F1613" s="7" t="str">
        <f>"100201228"</f>
        <v>100201228</v>
      </c>
      <c r="H1613" s="7">
        <v>325</v>
      </c>
      <c r="I1613" s="11">
        <v>0.6</v>
      </c>
    </row>
    <row r="1614" spans="1:9">
      <c r="A1614" s="7" t="s">
        <v>1929</v>
      </c>
      <c r="B1614" s="7">
        <v>4403</v>
      </c>
      <c r="C1614" s="7" t="str">
        <f t="shared" si="72"/>
        <v>100201000</v>
      </c>
      <c r="D1614" s="7" t="s">
        <v>1956</v>
      </c>
      <c r="E1614" s="7">
        <v>5739</v>
      </c>
      <c r="F1614" s="7" t="str">
        <f>"100201511"</f>
        <v>100201511</v>
      </c>
      <c r="H1614" s="7">
        <v>526</v>
      </c>
      <c r="I1614" s="11">
        <v>0.63</v>
      </c>
    </row>
    <row r="1615" spans="1:9" ht="28.5">
      <c r="A1615" s="7" t="s">
        <v>1929</v>
      </c>
      <c r="B1615" s="7">
        <v>4403</v>
      </c>
      <c r="C1615" s="7" t="str">
        <f t="shared" si="72"/>
        <v>100201000</v>
      </c>
      <c r="D1615" s="7" t="s">
        <v>1957</v>
      </c>
      <c r="E1615" s="7">
        <v>5723</v>
      </c>
      <c r="F1615" s="7" t="str">
        <f>"100201413"</f>
        <v>100201413</v>
      </c>
      <c r="G1615" s="7" t="s">
        <v>16</v>
      </c>
      <c r="H1615" s="7">
        <v>225</v>
      </c>
      <c r="I1615" s="12">
        <v>0.82</v>
      </c>
    </row>
    <row r="1616" spans="1:9" ht="28.5">
      <c r="A1616" s="7" t="s">
        <v>1929</v>
      </c>
      <c r="B1616" s="7">
        <v>4403</v>
      </c>
      <c r="C1616" s="7" t="str">
        <f t="shared" si="72"/>
        <v>100201000</v>
      </c>
      <c r="D1616" s="7" t="s">
        <v>1958</v>
      </c>
      <c r="E1616" s="7">
        <v>5691</v>
      </c>
      <c r="F1616" s="7" t="str">
        <f>"100201266"</f>
        <v>100201266</v>
      </c>
      <c r="G1616" s="7" t="s">
        <v>16</v>
      </c>
      <c r="H1616" s="7">
        <v>275</v>
      </c>
      <c r="I1616" s="11" t="s">
        <v>17</v>
      </c>
    </row>
    <row r="1617" spans="1:9" ht="28.5">
      <c r="A1617" s="7" t="s">
        <v>1929</v>
      </c>
      <c r="B1617" s="7">
        <v>4403</v>
      </c>
      <c r="C1617" s="7" t="str">
        <f t="shared" si="72"/>
        <v>100201000</v>
      </c>
      <c r="D1617" s="7" t="s">
        <v>1959</v>
      </c>
      <c r="E1617" s="7">
        <v>80039</v>
      </c>
      <c r="F1617" s="7" t="str">
        <f>"100201327"</f>
        <v>100201327</v>
      </c>
      <c r="G1617" s="7" t="s">
        <v>16</v>
      </c>
      <c r="H1617" s="7">
        <v>342</v>
      </c>
      <c r="I1617" s="12">
        <v>0.86</v>
      </c>
    </row>
    <row r="1618" spans="1:9" ht="28.5">
      <c r="A1618" s="7" t="s">
        <v>1929</v>
      </c>
      <c r="B1618" s="7">
        <v>4403</v>
      </c>
      <c r="C1618" s="7" t="str">
        <f t="shared" si="72"/>
        <v>100201000</v>
      </c>
      <c r="D1618" s="7" t="s">
        <v>1960</v>
      </c>
      <c r="E1618" s="7">
        <v>5686</v>
      </c>
      <c r="F1618" s="7" t="str">
        <f>"100201239"</f>
        <v>100201239</v>
      </c>
      <c r="G1618" s="7" t="s">
        <v>16</v>
      </c>
      <c r="H1618" s="7">
        <v>210</v>
      </c>
      <c r="I1618" s="11" t="s">
        <v>17</v>
      </c>
    </row>
    <row r="1619" spans="1:9" ht="28.5">
      <c r="A1619" s="7" t="s">
        <v>1929</v>
      </c>
      <c r="B1619" s="7">
        <v>4403</v>
      </c>
      <c r="C1619" s="7" t="str">
        <f t="shared" si="72"/>
        <v>100201000</v>
      </c>
      <c r="D1619" s="7" t="s">
        <v>1961</v>
      </c>
      <c r="E1619" s="7">
        <v>5684</v>
      </c>
      <c r="F1619" s="7" t="str">
        <f>"100201233"</f>
        <v>100201233</v>
      </c>
      <c r="G1619" s="7" t="s">
        <v>16</v>
      </c>
      <c r="H1619" s="7">
        <v>607</v>
      </c>
      <c r="I1619" s="12">
        <v>0.82</v>
      </c>
    </row>
    <row r="1620" spans="1:9" ht="28.5">
      <c r="A1620" s="7" t="s">
        <v>1929</v>
      </c>
      <c r="B1620" s="7">
        <v>4403</v>
      </c>
      <c r="C1620" s="7" t="str">
        <f t="shared" si="72"/>
        <v>100201000</v>
      </c>
      <c r="D1620" s="7" t="s">
        <v>1962</v>
      </c>
      <c r="E1620" s="7">
        <v>5687</v>
      </c>
      <c r="F1620" s="7" t="str">
        <f>"100201245"</f>
        <v>100201245</v>
      </c>
      <c r="G1620" s="7" t="s">
        <v>16</v>
      </c>
      <c r="H1620" s="7">
        <v>250</v>
      </c>
      <c r="I1620" s="12">
        <v>0.95</v>
      </c>
    </row>
    <row r="1621" spans="1:9" ht="28.5">
      <c r="A1621" s="7" t="s">
        <v>1929</v>
      </c>
      <c r="B1621" s="7">
        <v>4403</v>
      </c>
      <c r="C1621" s="7" t="str">
        <f t="shared" si="72"/>
        <v>100201000</v>
      </c>
      <c r="D1621" s="7" t="s">
        <v>1963</v>
      </c>
      <c r="E1621" s="7">
        <v>5688</v>
      </c>
      <c r="F1621" s="7" t="str">
        <f>"100201251"</f>
        <v>100201251</v>
      </c>
      <c r="G1621" s="7" t="s">
        <v>16</v>
      </c>
      <c r="H1621" s="7">
        <v>179</v>
      </c>
      <c r="I1621" s="12">
        <v>0.84</v>
      </c>
    </row>
    <row r="1622" spans="1:9" ht="28.5">
      <c r="A1622" s="7" t="s">
        <v>1929</v>
      </c>
      <c r="B1622" s="7">
        <v>4403</v>
      </c>
      <c r="C1622" s="7" t="str">
        <f t="shared" si="72"/>
        <v>100201000</v>
      </c>
      <c r="D1622" s="7" t="s">
        <v>1964</v>
      </c>
      <c r="E1622" s="7">
        <v>5735</v>
      </c>
      <c r="F1622" s="7" t="str">
        <f>"100201502"</f>
        <v>100201502</v>
      </c>
      <c r="H1622" s="7">
        <v>414</v>
      </c>
      <c r="I1622" s="11">
        <v>0.61</v>
      </c>
    </row>
    <row r="1623" spans="1:9">
      <c r="A1623" s="7" t="s">
        <v>1929</v>
      </c>
      <c r="B1623" s="7">
        <v>4403</v>
      </c>
      <c r="C1623" s="7" t="str">
        <f t="shared" si="72"/>
        <v>100201000</v>
      </c>
      <c r="D1623" s="7" t="s">
        <v>1965</v>
      </c>
      <c r="E1623" s="7">
        <v>1001156</v>
      </c>
      <c r="F1623" s="7" t="str">
        <f>"100201683"</f>
        <v>100201683</v>
      </c>
      <c r="H1623" s="7">
        <v>308</v>
      </c>
      <c r="I1623" s="11">
        <v>0.68</v>
      </c>
    </row>
    <row r="1624" spans="1:9" ht="28.5">
      <c r="A1624" s="7" t="s">
        <v>1929</v>
      </c>
      <c r="B1624" s="7">
        <v>4403</v>
      </c>
      <c r="C1624" s="7" t="str">
        <f t="shared" si="72"/>
        <v>100201000</v>
      </c>
      <c r="D1624" s="7" t="s">
        <v>1966</v>
      </c>
      <c r="E1624" s="7">
        <v>5677</v>
      </c>
      <c r="F1624" s="7" t="str">
        <f>"100201215"</f>
        <v>100201215</v>
      </c>
      <c r="G1624" s="7" t="s">
        <v>16</v>
      </c>
      <c r="H1624" s="7">
        <v>348</v>
      </c>
      <c r="I1624" s="11" t="s">
        <v>17</v>
      </c>
    </row>
    <row r="1625" spans="1:9" ht="28.5">
      <c r="A1625" s="7" t="s">
        <v>1929</v>
      </c>
      <c r="B1625" s="7">
        <v>4403</v>
      </c>
      <c r="C1625" s="7" t="str">
        <f t="shared" si="72"/>
        <v>100201000</v>
      </c>
      <c r="D1625" s="7" t="s">
        <v>1967</v>
      </c>
      <c r="E1625" s="7">
        <v>5733</v>
      </c>
      <c r="F1625" s="7" t="str">
        <f>"100201461"</f>
        <v>100201461</v>
      </c>
      <c r="G1625" s="7" t="s">
        <v>16</v>
      </c>
      <c r="H1625" s="7">
        <v>427</v>
      </c>
      <c r="I1625" s="11" t="s">
        <v>17</v>
      </c>
    </row>
    <row r="1626" spans="1:9" ht="28.5">
      <c r="A1626" s="7" t="s">
        <v>1929</v>
      </c>
      <c r="B1626" s="7">
        <v>4403</v>
      </c>
      <c r="C1626" s="7" t="str">
        <f t="shared" si="72"/>
        <v>100201000</v>
      </c>
      <c r="D1626" s="7" t="s">
        <v>1968</v>
      </c>
      <c r="E1626" s="7">
        <v>5731</v>
      </c>
      <c r="F1626" s="7" t="str">
        <f>"100201449"</f>
        <v>100201449</v>
      </c>
      <c r="G1626" s="7" t="s">
        <v>16</v>
      </c>
      <c r="H1626" s="7">
        <v>650</v>
      </c>
      <c r="I1626" s="12">
        <v>0.72</v>
      </c>
    </row>
    <row r="1627" spans="1:9" ht="28.5">
      <c r="A1627" s="7" t="s">
        <v>1929</v>
      </c>
      <c r="B1627" s="7">
        <v>4403</v>
      </c>
      <c r="C1627" s="7" t="str">
        <f t="shared" si="72"/>
        <v>100201000</v>
      </c>
      <c r="D1627" s="7" t="s">
        <v>1969</v>
      </c>
      <c r="E1627" s="7">
        <v>80038</v>
      </c>
      <c r="F1627" s="7" t="str">
        <f>"100201120"</f>
        <v>100201120</v>
      </c>
      <c r="G1627" s="7" t="s">
        <v>16</v>
      </c>
      <c r="H1627" s="7">
        <v>293</v>
      </c>
      <c r="I1627" s="12">
        <v>0.75</v>
      </c>
    </row>
    <row r="1628" spans="1:9">
      <c r="A1628" s="7" t="s">
        <v>1929</v>
      </c>
      <c r="B1628" s="7">
        <v>4403</v>
      </c>
      <c r="C1628" s="7" t="str">
        <f t="shared" si="72"/>
        <v>100201000</v>
      </c>
      <c r="D1628" s="7" t="s">
        <v>1970</v>
      </c>
      <c r="E1628" s="7">
        <v>5695</v>
      </c>
      <c r="F1628" s="7" t="str">
        <f>"100201281"</f>
        <v>100201281</v>
      </c>
      <c r="H1628" s="7">
        <v>530</v>
      </c>
      <c r="I1628" s="11">
        <v>0.64</v>
      </c>
    </row>
    <row r="1629" spans="1:9" ht="28.5">
      <c r="A1629" s="7" t="s">
        <v>1929</v>
      </c>
      <c r="B1629" s="7">
        <v>4403</v>
      </c>
      <c r="C1629" s="7" t="str">
        <f t="shared" si="72"/>
        <v>100201000</v>
      </c>
      <c r="D1629" s="7" t="s">
        <v>1971</v>
      </c>
      <c r="E1629" s="7">
        <v>5697</v>
      </c>
      <c r="F1629" s="7" t="str">
        <f>"100201287"</f>
        <v>100201287</v>
      </c>
      <c r="G1629" s="7" t="s">
        <v>16</v>
      </c>
      <c r="H1629" s="7">
        <v>395</v>
      </c>
      <c r="I1629" s="12">
        <v>0.89</v>
      </c>
    </row>
    <row r="1630" spans="1:9">
      <c r="A1630" s="7" t="s">
        <v>1929</v>
      </c>
      <c r="B1630" s="7">
        <v>4403</v>
      </c>
      <c r="C1630" s="7" t="str">
        <f t="shared" si="72"/>
        <v>100201000</v>
      </c>
      <c r="D1630" s="7" t="s">
        <v>1972</v>
      </c>
      <c r="E1630" s="7">
        <v>5741</v>
      </c>
      <c r="F1630" s="7" t="str">
        <f>"100201515"</f>
        <v>100201515</v>
      </c>
      <c r="H1630" s="7">
        <v>309</v>
      </c>
      <c r="I1630" s="11">
        <v>0.73</v>
      </c>
    </row>
    <row r="1631" spans="1:9" ht="28.5">
      <c r="A1631" s="7" t="s">
        <v>1929</v>
      </c>
      <c r="B1631" s="7">
        <v>4403</v>
      </c>
      <c r="C1631" s="7" t="str">
        <f t="shared" si="72"/>
        <v>100201000</v>
      </c>
      <c r="D1631" s="7" t="s">
        <v>1973</v>
      </c>
      <c r="E1631" s="7">
        <v>5699</v>
      </c>
      <c r="F1631" s="7" t="str">
        <f>"100201290"</f>
        <v>100201290</v>
      </c>
      <c r="G1631" s="7" t="s">
        <v>16</v>
      </c>
      <c r="H1631" s="7">
        <v>267</v>
      </c>
      <c r="I1631" s="12">
        <v>0.82</v>
      </c>
    </row>
    <row r="1632" spans="1:9">
      <c r="A1632" s="7" t="s">
        <v>1929</v>
      </c>
      <c r="B1632" s="7">
        <v>4403</v>
      </c>
      <c r="C1632" s="7" t="str">
        <f t="shared" si="72"/>
        <v>100201000</v>
      </c>
      <c r="D1632" s="7" t="s">
        <v>1974</v>
      </c>
      <c r="E1632" s="7">
        <v>5742</v>
      </c>
      <c r="F1632" s="7" t="str">
        <f>"100201520"</f>
        <v>100201520</v>
      </c>
      <c r="H1632" s="7">
        <v>839</v>
      </c>
      <c r="I1632" s="11">
        <v>0.66</v>
      </c>
    </row>
    <row r="1633" spans="1:9" ht="28.5">
      <c r="A1633" s="7" t="s">
        <v>1929</v>
      </c>
      <c r="B1633" s="7">
        <v>4403</v>
      </c>
      <c r="C1633" s="7" t="str">
        <f t="shared" si="72"/>
        <v>100201000</v>
      </c>
      <c r="D1633" s="7" t="s">
        <v>1975</v>
      </c>
      <c r="E1633" s="7">
        <v>5700</v>
      </c>
      <c r="F1633" s="7" t="str">
        <f>"100201293"</f>
        <v>100201293</v>
      </c>
      <c r="G1633" s="7" t="s">
        <v>16</v>
      </c>
      <c r="H1633" s="7">
        <v>349</v>
      </c>
      <c r="I1633" s="11" t="s">
        <v>17</v>
      </c>
    </row>
    <row r="1634" spans="1:9" ht="28.5">
      <c r="A1634" s="7" t="s">
        <v>1929</v>
      </c>
      <c r="B1634" s="7">
        <v>4403</v>
      </c>
      <c r="C1634" s="7" t="str">
        <f t="shared" si="72"/>
        <v>100201000</v>
      </c>
      <c r="D1634" s="7" t="s">
        <v>1976</v>
      </c>
      <c r="E1634" s="7">
        <v>5701</v>
      </c>
      <c r="F1634" s="7" t="str">
        <f>"100201295"</f>
        <v>100201295</v>
      </c>
      <c r="G1634" s="7" t="s">
        <v>16</v>
      </c>
      <c r="H1634" s="7">
        <v>275</v>
      </c>
      <c r="I1634" s="12">
        <v>0.73</v>
      </c>
    </row>
    <row r="1635" spans="1:9" ht="28.5">
      <c r="A1635" s="7" t="s">
        <v>1929</v>
      </c>
      <c r="B1635" s="7">
        <v>4403</v>
      </c>
      <c r="C1635" s="7" t="str">
        <f t="shared" si="72"/>
        <v>100201000</v>
      </c>
      <c r="D1635" s="7" t="s">
        <v>1977</v>
      </c>
      <c r="E1635" s="7">
        <v>6269</v>
      </c>
      <c r="F1635" s="7" t="str">
        <f>"100201195"</f>
        <v>100201195</v>
      </c>
      <c r="G1635" s="7" t="s">
        <v>16</v>
      </c>
      <c r="H1635" s="7">
        <v>26</v>
      </c>
      <c r="I1635" s="11" t="s">
        <v>17</v>
      </c>
    </row>
    <row r="1636" spans="1:9" ht="28.5">
      <c r="A1636" s="7" t="s">
        <v>1929</v>
      </c>
      <c r="B1636" s="7">
        <v>4403</v>
      </c>
      <c r="C1636" s="7" t="str">
        <f t="shared" si="72"/>
        <v>100201000</v>
      </c>
      <c r="D1636" s="7" t="s">
        <v>1978</v>
      </c>
      <c r="E1636" s="7">
        <v>91202</v>
      </c>
      <c r="F1636" s="7" t="str">
        <f>"100201523"</f>
        <v>100201523</v>
      </c>
      <c r="G1636" s="7" t="s">
        <v>16</v>
      </c>
      <c r="H1636" s="7">
        <v>1072</v>
      </c>
      <c r="I1636" s="12">
        <v>0.77</v>
      </c>
    </row>
    <row r="1637" spans="1:9">
      <c r="A1637" s="7" t="s">
        <v>1929</v>
      </c>
      <c r="B1637" s="7">
        <v>4403</v>
      </c>
      <c r="C1637" s="7" t="str">
        <f t="shared" si="72"/>
        <v>100201000</v>
      </c>
      <c r="D1637" s="7" t="s">
        <v>1979</v>
      </c>
      <c r="E1637" s="7">
        <v>5703</v>
      </c>
      <c r="F1637" s="7" t="str">
        <f>"100201305"</f>
        <v>100201305</v>
      </c>
      <c r="H1637" s="7">
        <v>304</v>
      </c>
      <c r="I1637" s="11">
        <v>0.51</v>
      </c>
    </row>
    <row r="1638" spans="1:9" ht="28.5">
      <c r="A1638" s="7" t="s">
        <v>1929</v>
      </c>
      <c r="B1638" s="7">
        <v>4403</v>
      </c>
      <c r="C1638" s="7" t="str">
        <f t="shared" si="72"/>
        <v>100201000</v>
      </c>
      <c r="D1638" s="7" t="s">
        <v>1980</v>
      </c>
      <c r="E1638" s="7">
        <v>5704</v>
      </c>
      <c r="F1638" s="7" t="str">
        <f>"100201308"</f>
        <v>100201308</v>
      </c>
      <c r="G1638" s="7" t="s">
        <v>16</v>
      </c>
      <c r="H1638" s="7">
        <v>471</v>
      </c>
      <c r="I1638" s="12">
        <v>0.82</v>
      </c>
    </row>
    <row r="1639" spans="1:9" ht="28.5">
      <c r="A1639" s="7" t="s">
        <v>1929</v>
      </c>
      <c r="B1639" s="7">
        <v>4403</v>
      </c>
      <c r="C1639" s="7" t="str">
        <f t="shared" si="72"/>
        <v>100201000</v>
      </c>
      <c r="D1639" s="7" t="s">
        <v>1981</v>
      </c>
      <c r="E1639" s="7">
        <v>5705</v>
      </c>
      <c r="F1639" s="7" t="str">
        <f>"100201311"</f>
        <v>100201311</v>
      </c>
      <c r="G1639" s="7" t="s">
        <v>16</v>
      </c>
      <c r="H1639" s="7">
        <v>244</v>
      </c>
      <c r="I1639" s="11" t="s">
        <v>17</v>
      </c>
    </row>
    <row r="1640" spans="1:9" ht="28.5">
      <c r="A1640" s="7" t="s">
        <v>1929</v>
      </c>
      <c r="B1640" s="7">
        <v>4403</v>
      </c>
      <c r="C1640" s="7" t="str">
        <f t="shared" si="72"/>
        <v>100201000</v>
      </c>
      <c r="D1640" s="7" t="s">
        <v>1982</v>
      </c>
      <c r="E1640" s="7">
        <v>92239</v>
      </c>
      <c r="F1640" s="7" t="str">
        <f>"100201521"</f>
        <v>100201521</v>
      </c>
      <c r="G1640" s="7" t="s">
        <v>16</v>
      </c>
      <c r="H1640" s="7">
        <v>379</v>
      </c>
      <c r="I1640" s="12">
        <v>0.9</v>
      </c>
    </row>
    <row r="1641" spans="1:9" ht="28.5">
      <c r="A1641" s="7" t="s">
        <v>1929</v>
      </c>
      <c r="B1641" s="7">
        <v>4403</v>
      </c>
      <c r="C1641" s="7" t="str">
        <f t="shared" si="72"/>
        <v>100201000</v>
      </c>
      <c r="D1641" s="7" t="s">
        <v>1983</v>
      </c>
      <c r="E1641" s="7">
        <v>5706</v>
      </c>
      <c r="F1641" s="7" t="str">
        <f>"100201317"</f>
        <v>100201317</v>
      </c>
      <c r="G1641" s="7" t="s">
        <v>16</v>
      </c>
      <c r="H1641" s="7">
        <v>299</v>
      </c>
      <c r="I1641" s="11" t="s">
        <v>17</v>
      </c>
    </row>
    <row r="1642" spans="1:9" ht="28.5">
      <c r="A1642" s="7" t="s">
        <v>1929</v>
      </c>
      <c r="B1642" s="7">
        <v>4403</v>
      </c>
      <c r="C1642" s="7" t="str">
        <f t="shared" si="72"/>
        <v>100201000</v>
      </c>
      <c r="D1642" s="7" t="s">
        <v>1984</v>
      </c>
      <c r="E1642" s="7">
        <v>5707</v>
      </c>
      <c r="F1642" s="7" t="str">
        <f>"100201323"</f>
        <v>100201323</v>
      </c>
      <c r="G1642" s="7" t="s">
        <v>16</v>
      </c>
      <c r="H1642" s="7">
        <v>189</v>
      </c>
      <c r="I1642" s="11" t="s">
        <v>17</v>
      </c>
    </row>
    <row r="1643" spans="1:9" ht="28.5">
      <c r="A1643" s="7" t="s">
        <v>1929</v>
      </c>
      <c r="B1643" s="7">
        <v>4403</v>
      </c>
      <c r="C1643" s="7" t="str">
        <f t="shared" si="72"/>
        <v>100201000</v>
      </c>
      <c r="D1643" s="7" t="s">
        <v>1985</v>
      </c>
      <c r="E1643" s="7">
        <v>5758</v>
      </c>
      <c r="F1643" s="7" t="str">
        <f>"100201620"</f>
        <v>100201620</v>
      </c>
      <c r="G1643" s="7" t="s">
        <v>16</v>
      </c>
      <c r="H1643" s="7">
        <v>706</v>
      </c>
      <c r="I1643" s="12">
        <v>0.69</v>
      </c>
    </row>
    <row r="1644" spans="1:9" ht="28.5">
      <c r="A1644" s="7" t="s">
        <v>1929</v>
      </c>
      <c r="B1644" s="7">
        <v>4403</v>
      </c>
      <c r="C1644" s="7" t="str">
        <f t="shared" si="72"/>
        <v>100201000</v>
      </c>
      <c r="D1644" s="7" t="s">
        <v>1986</v>
      </c>
      <c r="E1644" s="7">
        <v>5745</v>
      </c>
      <c r="F1644" s="7" t="str">
        <f>"100201527"</f>
        <v>100201527</v>
      </c>
      <c r="G1644" s="7" t="s">
        <v>16</v>
      </c>
      <c r="H1644" s="7">
        <v>638</v>
      </c>
      <c r="I1644" s="12">
        <v>0.78</v>
      </c>
    </row>
    <row r="1645" spans="1:9" ht="28.5">
      <c r="A1645" s="7" t="s">
        <v>1929</v>
      </c>
      <c r="B1645" s="7">
        <v>4403</v>
      </c>
      <c r="C1645" s="7" t="str">
        <f t="shared" si="72"/>
        <v>100201000</v>
      </c>
      <c r="D1645" s="7" t="s">
        <v>1987</v>
      </c>
      <c r="E1645" s="7">
        <v>6264</v>
      </c>
      <c r="F1645" s="7" t="str">
        <f>"100201674"</f>
        <v>100201674</v>
      </c>
      <c r="G1645" s="7" t="s">
        <v>16</v>
      </c>
      <c r="H1645" s="7">
        <v>50</v>
      </c>
      <c r="I1645" s="12">
        <v>0.79</v>
      </c>
    </row>
    <row r="1646" spans="1:9" ht="28.5">
      <c r="A1646" s="7" t="s">
        <v>1929</v>
      </c>
      <c r="B1646" s="7">
        <v>4403</v>
      </c>
      <c r="C1646" s="7" t="str">
        <f t="shared" si="72"/>
        <v>100201000</v>
      </c>
      <c r="D1646" s="7" t="s">
        <v>1988</v>
      </c>
      <c r="E1646" s="7">
        <v>5708</v>
      </c>
      <c r="F1646" s="7" t="str">
        <f>"100201329"</f>
        <v>100201329</v>
      </c>
      <c r="G1646" s="7" t="s">
        <v>16</v>
      </c>
      <c r="H1646" s="7">
        <v>332</v>
      </c>
      <c r="I1646" s="11" t="s">
        <v>17</v>
      </c>
    </row>
    <row r="1647" spans="1:9" ht="28.5">
      <c r="A1647" s="7" t="s">
        <v>1929</v>
      </c>
      <c r="B1647" s="7">
        <v>4403</v>
      </c>
      <c r="C1647" s="7" t="str">
        <f t="shared" si="72"/>
        <v>100201000</v>
      </c>
      <c r="D1647" s="7" t="s">
        <v>1989</v>
      </c>
      <c r="E1647" s="7">
        <v>5759</v>
      </c>
      <c r="F1647" s="7" t="str">
        <f>"100201630"</f>
        <v>100201630</v>
      </c>
      <c r="G1647" s="7" t="s">
        <v>16</v>
      </c>
      <c r="H1647" s="7">
        <v>1830</v>
      </c>
      <c r="I1647" s="12">
        <v>0.68</v>
      </c>
    </row>
    <row r="1648" spans="1:9" ht="28.5">
      <c r="A1648" s="7" t="s">
        <v>1929</v>
      </c>
      <c r="B1648" s="7">
        <v>4403</v>
      </c>
      <c r="C1648" s="7" t="str">
        <f t="shared" si="72"/>
        <v>100201000</v>
      </c>
      <c r="D1648" s="7" t="s">
        <v>1990</v>
      </c>
      <c r="E1648" s="7">
        <v>5683</v>
      </c>
      <c r="F1648" s="7" t="str">
        <f>"100201231"</f>
        <v>100201231</v>
      </c>
      <c r="G1648" s="7" t="s">
        <v>16</v>
      </c>
      <c r="H1648" s="7">
        <v>478</v>
      </c>
      <c r="I1648" s="12">
        <v>0.88</v>
      </c>
    </row>
    <row r="1649" spans="1:9">
      <c r="A1649" s="7" t="s">
        <v>1929</v>
      </c>
      <c r="B1649" s="7">
        <v>4403</v>
      </c>
      <c r="C1649" s="7" t="str">
        <f t="shared" si="72"/>
        <v>100201000</v>
      </c>
      <c r="D1649" s="7" t="s">
        <v>1991</v>
      </c>
      <c r="E1649" s="7">
        <v>5760</v>
      </c>
      <c r="F1649" s="7" t="str">
        <f>"100201640"</f>
        <v>100201640</v>
      </c>
      <c r="H1649" s="7">
        <v>2257</v>
      </c>
      <c r="I1649" s="11">
        <v>0.54</v>
      </c>
    </row>
    <row r="1650" spans="1:9" ht="28.5">
      <c r="A1650" s="7" t="s">
        <v>1929</v>
      </c>
      <c r="B1650" s="7">
        <v>4403</v>
      </c>
      <c r="C1650" s="7" t="str">
        <f t="shared" si="72"/>
        <v>100201000</v>
      </c>
      <c r="D1650" s="7" t="s">
        <v>1992</v>
      </c>
      <c r="E1650" s="7">
        <v>5744</v>
      </c>
      <c r="F1650" s="7" t="str">
        <f>"100201525"</f>
        <v>100201525</v>
      </c>
      <c r="G1650" s="7" t="s">
        <v>16</v>
      </c>
      <c r="H1650" s="7">
        <v>631</v>
      </c>
      <c r="I1650" s="11" t="s">
        <v>17</v>
      </c>
    </row>
    <row r="1651" spans="1:9">
      <c r="A1651" s="7" t="s">
        <v>1929</v>
      </c>
      <c r="B1651" s="7">
        <v>4403</v>
      </c>
      <c r="C1651" s="7" t="str">
        <f t="shared" ref="C1651:C1672" si="73">"100201000"</f>
        <v>100201000</v>
      </c>
      <c r="D1651" s="7" t="s">
        <v>1993</v>
      </c>
      <c r="E1651" s="7">
        <v>5712</v>
      </c>
      <c r="F1651" s="7" t="str">
        <f>"100201351"</f>
        <v>100201351</v>
      </c>
      <c r="H1651" s="7">
        <v>482</v>
      </c>
      <c r="I1651" s="11">
        <v>0.61</v>
      </c>
    </row>
    <row r="1652" spans="1:9" ht="28.5">
      <c r="A1652" s="7" t="s">
        <v>1929</v>
      </c>
      <c r="B1652" s="7">
        <v>4403</v>
      </c>
      <c r="C1652" s="7" t="str">
        <f t="shared" si="73"/>
        <v>100201000</v>
      </c>
      <c r="D1652" s="7" t="s">
        <v>1994</v>
      </c>
      <c r="E1652" s="7">
        <v>5713</v>
      </c>
      <c r="F1652" s="7" t="str">
        <f>"100201353"</f>
        <v>100201353</v>
      </c>
      <c r="G1652" s="7" t="s">
        <v>16</v>
      </c>
      <c r="H1652" s="7">
        <v>286</v>
      </c>
      <c r="I1652" s="11" t="s">
        <v>17</v>
      </c>
    </row>
    <row r="1653" spans="1:9" ht="28.5">
      <c r="A1653" s="7" t="s">
        <v>1929</v>
      </c>
      <c r="B1653" s="7">
        <v>4403</v>
      </c>
      <c r="C1653" s="7" t="str">
        <f t="shared" si="73"/>
        <v>100201000</v>
      </c>
      <c r="D1653" s="7" t="s">
        <v>1995</v>
      </c>
      <c r="E1653" s="7">
        <v>5755</v>
      </c>
      <c r="F1653" s="7" t="str">
        <f>"100201595"</f>
        <v>100201595</v>
      </c>
      <c r="H1653" s="7">
        <v>582</v>
      </c>
      <c r="I1653" s="11">
        <v>0.73</v>
      </c>
    </row>
    <row r="1654" spans="1:9">
      <c r="A1654" s="7" t="s">
        <v>1929</v>
      </c>
      <c r="B1654" s="7">
        <v>4403</v>
      </c>
      <c r="C1654" s="7" t="str">
        <f t="shared" si="73"/>
        <v>100201000</v>
      </c>
      <c r="D1654" s="7" t="s">
        <v>1996</v>
      </c>
      <c r="E1654" s="7">
        <v>5761</v>
      </c>
      <c r="F1654" s="7" t="str">
        <f>"100201645"</f>
        <v>100201645</v>
      </c>
      <c r="H1654" s="7">
        <v>872</v>
      </c>
      <c r="I1654" s="11">
        <v>0.36</v>
      </c>
    </row>
    <row r="1655" spans="1:9" ht="28.5">
      <c r="A1655" s="7" t="s">
        <v>1929</v>
      </c>
      <c r="B1655" s="7">
        <v>4403</v>
      </c>
      <c r="C1655" s="7" t="str">
        <f t="shared" si="73"/>
        <v>100201000</v>
      </c>
      <c r="D1655" s="7" t="s">
        <v>1997</v>
      </c>
      <c r="E1655" s="7">
        <v>5746</v>
      </c>
      <c r="F1655" s="7" t="str">
        <f>"100201535"</f>
        <v>100201535</v>
      </c>
      <c r="G1655" s="7" t="s">
        <v>16</v>
      </c>
      <c r="H1655" s="7">
        <v>383</v>
      </c>
      <c r="I1655" s="11" t="s">
        <v>17</v>
      </c>
    </row>
    <row r="1656" spans="1:9">
      <c r="A1656" s="7" t="s">
        <v>1929</v>
      </c>
      <c r="B1656" s="7">
        <v>4403</v>
      </c>
      <c r="C1656" s="7" t="str">
        <f t="shared" si="73"/>
        <v>100201000</v>
      </c>
      <c r="D1656" s="7" t="s">
        <v>1998</v>
      </c>
      <c r="E1656" s="7">
        <v>5762</v>
      </c>
      <c r="F1656" s="7" t="str">
        <f>"100201650"</f>
        <v>100201650</v>
      </c>
      <c r="H1656" s="7">
        <v>1419</v>
      </c>
      <c r="I1656" s="11">
        <v>0.54</v>
      </c>
    </row>
    <row r="1657" spans="1:9">
      <c r="A1657" s="7" t="s">
        <v>1929</v>
      </c>
      <c r="B1657" s="7">
        <v>4403</v>
      </c>
      <c r="C1657" s="7" t="str">
        <f t="shared" si="73"/>
        <v>100201000</v>
      </c>
      <c r="D1657" s="7" t="s">
        <v>1999</v>
      </c>
      <c r="E1657" s="7">
        <v>5689</v>
      </c>
      <c r="F1657" s="7" t="str">
        <f>"100201257"</f>
        <v>100201257</v>
      </c>
      <c r="H1657" s="7">
        <v>368</v>
      </c>
      <c r="I1657" s="11">
        <v>0.36</v>
      </c>
    </row>
    <row r="1658" spans="1:9">
      <c r="A1658" s="7" t="s">
        <v>1929</v>
      </c>
      <c r="B1658" s="7">
        <v>4403</v>
      </c>
      <c r="C1658" s="7" t="str">
        <f t="shared" si="73"/>
        <v>100201000</v>
      </c>
      <c r="D1658" s="7" t="s">
        <v>2000</v>
      </c>
      <c r="E1658" s="7">
        <v>5763</v>
      </c>
      <c r="F1658" s="7" t="str">
        <f>"100201655"</f>
        <v>100201655</v>
      </c>
      <c r="H1658" s="7">
        <v>352</v>
      </c>
      <c r="I1658" s="11">
        <v>0.77</v>
      </c>
    </row>
    <row r="1659" spans="1:9" ht="28.5">
      <c r="A1659" s="7" t="s">
        <v>1929</v>
      </c>
      <c r="B1659" s="7">
        <v>4403</v>
      </c>
      <c r="C1659" s="7" t="str">
        <f t="shared" si="73"/>
        <v>100201000</v>
      </c>
      <c r="D1659" s="7" t="s">
        <v>2001</v>
      </c>
      <c r="E1659" s="7">
        <v>5747</v>
      </c>
      <c r="F1659" s="7" t="str">
        <f>"100201537"</f>
        <v>100201537</v>
      </c>
      <c r="G1659" s="7" t="s">
        <v>16</v>
      </c>
      <c r="H1659" s="7">
        <v>253</v>
      </c>
      <c r="I1659" s="12">
        <v>0.79</v>
      </c>
    </row>
    <row r="1660" spans="1:9">
      <c r="A1660" s="7" t="s">
        <v>1929</v>
      </c>
      <c r="B1660" s="7">
        <v>4403</v>
      </c>
      <c r="C1660" s="7" t="str">
        <f t="shared" si="73"/>
        <v>100201000</v>
      </c>
      <c r="D1660" s="7" t="s">
        <v>2002</v>
      </c>
      <c r="E1660" s="7">
        <v>5721</v>
      </c>
      <c r="F1660" s="7" t="str">
        <f>"100201410"</f>
        <v>100201410</v>
      </c>
      <c r="H1660" s="7">
        <v>292</v>
      </c>
      <c r="I1660" s="11">
        <v>0.54</v>
      </c>
    </row>
    <row r="1661" spans="1:9" ht="28.5">
      <c r="A1661" s="7" t="s">
        <v>1929</v>
      </c>
      <c r="B1661" s="7">
        <v>4403</v>
      </c>
      <c r="C1661" s="7" t="str">
        <f t="shared" si="73"/>
        <v>100201000</v>
      </c>
      <c r="D1661" s="7" t="s">
        <v>2003</v>
      </c>
      <c r="E1661" s="7">
        <v>6272</v>
      </c>
      <c r="F1661" s="7" t="str">
        <f>"100201676"</f>
        <v>100201676</v>
      </c>
      <c r="G1661" s="7" t="s">
        <v>16</v>
      </c>
      <c r="H1661" s="7">
        <v>24</v>
      </c>
      <c r="I1661" s="11" t="s">
        <v>17</v>
      </c>
    </row>
    <row r="1662" spans="1:9" ht="28.5">
      <c r="A1662" s="7" t="s">
        <v>1929</v>
      </c>
      <c r="B1662" s="7">
        <v>4403</v>
      </c>
      <c r="C1662" s="7" t="str">
        <f t="shared" si="73"/>
        <v>100201000</v>
      </c>
      <c r="D1662" s="7" t="s">
        <v>2004</v>
      </c>
      <c r="E1662" s="7">
        <v>5724</v>
      </c>
      <c r="F1662" s="7" t="str">
        <f>"100201417"</f>
        <v>100201417</v>
      </c>
      <c r="G1662" s="7" t="s">
        <v>16</v>
      </c>
      <c r="H1662" s="7">
        <v>365</v>
      </c>
      <c r="I1662" s="12">
        <v>0.78</v>
      </c>
    </row>
    <row r="1663" spans="1:9">
      <c r="A1663" s="7" t="s">
        <v>1929</v>
      </c>
      <c r="B1663" s="7">
        <v>4403</v>
      </c>
      <c r="C1663" s="7" t="str">
        <f t="shared" si="73"/>
        <v>100201000</v>
      </c>
      <c r="D1663" s="7" t="s">
        <v>2005</v>
      </c>
      <c r="E1663" s="7">
        <v>5764</v>
      </c>
      <c r="F1663" s="7" t="str">
        <f>"100201660"</f>
        <v>100201660</v>
      </c>
      <c r="H1663" s="7">
        <v>3070</v>
      </c>
      <c r="I1663" s="11">
        <v>0.61</v>
      </c>
    </row>
    <row r="1664" spans="1:9" ht="28.5">
      <c r="A1664" s="7" t="s">
        <v>1929</v>
      </c>
      <c r="B1664" s="7">
        <v>4403</v>
      </c>
      <c r="C1664" s="7" t="str">
        <f t="shared" si="73"/>
        <v>100201000</v>
      </c>
      <c r="D1664" s="7" t="s">
        <v>2006</v>
      </c>
      <c r="E1664" s="7">
        <v>5725</v>
      </c>
      <c r="F1664" s="7" t="str">
        <f>"100201419"</f>
        <v>100201419</v>
      </c>
      <c r="G1664" s="7" t="s">
        <v>16</v>
      </c>
      <c r="H1664" s="7">
        <v>270</v>
      </c>
      <c r="I1664" s="12">
        <v>0.9</v>
      </c>
    </row>
    <row r="1665" spans="1:9" ht="28.5">
      <c r="A1665" s="7" t="s">
        <v>1929</v>
      </c>
      <c r="B1665" s="7">
        <v>4403</v>
      </c>
      <c r="C1665" s="7" t="str">
        <f t="shared" si="73"/>
        <v>100201000</v>
      </c>
      <c r="D1665" s="7" t="s">
        <v>2007</v>
      </c>
      <c r="E1665" s="7">
        <v>5749</v>
      </c>
      <c r="F1665" s="7" t="str">
        <f>"100201550"</f>
        <v>100201550</v>
      </c>
      <c r="G1665" s="7" t="s">
        <v>16</v>
      </c>
      <c r="H1665" s="7">
        <v>239</v>
      </c>
      <c r="I1665" s="11" t="s">
        <v>17</v>
      </c>
    </row>
    <row r="1666" spans="1:9" ht="28.5">
      <c r="A1666" s="7" t="s">
        <v>1929</v>
      </c>
      <c r="B1666" s="7">
        <v>4403</v>
      </c>
      <c r="C1666" s="7" t="str">
        <f t="shared" si="73"/>
        <v>100201000</v>
      </c>
      <c r="D1666" s="7" t="s">
        <v>2008</v>
      </c>
      <c r="E1666" s="7">
        <v>5751</v>
      </c>
      <c r="F1666" s="7" t="str">
        <f>"100201557"</f>
        <v>100201557</v>
      </c>
      <c r="G1666" s="7" t="s">
        <v>16</v>
      </c>
      <c r="H1666" s="7">
        <v>656</v>
      </c>
      <c r="I1666" s="12">
        <v>0.73</v>
      </c>
    </row>
    <row r="1667" spans="1:9" ht="28.5">
      <c r="A1667" s="7" t="s">
        <v>1929</v>
      </c>
      <c r="B1667" s="7">
        <v>4403</v>
      </c>
      <c r="C1667" s="7" t="str">
        <f t="shared" si="73"/>
        <v>100201000</v>
      </c>
      <c r="D1667" s="7" t="s">
        <v>2009</v>
      </c>
      <c r="E1667" s="7">
        <v>5726</v>
      </c>
      <c r="F1667" s="7" t="str">
        <f>"100201431"</f>
        <v>100201431</v>
      </c>
      <c r="G1667" s="7" t="s">
        <v>16</v>
      </c>
      <c r="H1667" s="7">
        <v>304</v>
      </c>
      <c r="I1667" s="12">
        <v>0.97</v>
      </c>
    </row>
    <row r="1668" spans="1:9" ht="28.5">
      <c r="A1668" s="7" t="s">
        <v>1929</v>
      </c>
      <c r="B1668" s="7">
        <v>4403</v>
      </c>
      <c r="C1668" s="7" t="str">
        <f t="shared" si="73"/>
        <v>100201000</v>
      </c>
      <c r="D1668" s="7" t="s">
        <v>2010</v>
      </c>
      <c r="E1668" s="7">
        <v>5728</v>
      </c>
      <c r="F1668" s="7" t="str">
        <f>"100201435"</f>
        <v>100201435</v>
      </c>
      <c r="G1668" s="7" t="s">
        <v>16</v>
      </c>
      <c r="H1668" s="7">
        <v>587</v>
      </c>
      <c r="I1668" s="12">
        <v>0.71</v>
      </c>
    </row>
    <row r="1669" spans="1:9" ht="28.5">
      <c r="A1669" s="7" t="s">
        <v>1929</v>
      </c>
      <c r="B1669" s="7">
        <v>4403</v>
      </c>
      <c r="C1669" s="7" t="str">
        <f t="shared" si="73"/>
        <v>100201000</v>
      </c>
      <c r="D1669" s="7" t="s">
        <v>2011</v>
      </c>
      <c r="E1669" s="7">
        <v>5719</v>
      </c>
      <c r="F1669" s="7" t="str">
        <f>"100201395"</f>
        <v>100201395</v>
      </c>
      <c r="G1669" s="7" t="s">
        <v>16</v>
      </c>
      <c r="H1669" s="7">
        <v>171</v>
      </c>
      <c r="I1669" s="12">
        <v>0.78</v>
      </c>
    </row>
    <row r="1670" spans="1:9" ht="28.5">
      <c r="A1670" s="7" t="s">
        <v>1929</v>
      </c>
      <c r="B1670" s="7">
        <v>4403</v>
      </c>
      <c r="C1670" s="7" t="str">
        <f t="shared" si="73"/>
        <v>100201000</v>
      </c>
      <c r="D1670" s="7" t="s">
        <v>2012</v>
      </c>
      <c r="E1670" s="7">
        <v>5732</v>
      </c>
      <c r="F1670" s="7" t="str">
        <f>"100201455"</f>
        <v>100201455</v>
      </c>
      <c r="G1670" s="7" t="s">
        <v>16</v>
      </c>
      <c r="H1670" s="7">
        <v>311</v>
      </c>
      <c r="I1670" s="12">
        <v>0.87</v>
      </c>
    </row>
    <row r="1671" spans="1:9">
      <c r="A1671" s="7" t="s">
        <v>1929</v>
      </c>
      <c r="B1671" s="7">
        <v>4403</v>
      </c>
      <c r="C1671" s="7" t="str">
        <f t="shared" si="73"/>
        <v>100201000</v>
      </c>
      <c r="D1671" s="7" t="s">
        <v>2013</v>
      </c>
      <c r="E1671" s="7">
        <v>5752</v>
      </c>
      <c r="F1671" s="7" t="str">
        <f>"100201560"</f>
        <v>100201560</v>
      </c>
      <c r="H1671" s="7">
        <v>269</v>
      </c>
      <c r="I1671" s="11">
        <v>0.75</v>
      </c>
    </row>
    <row r="1672" spans="1:9" ht="28.5">
      <c r="A1672" s="7" t="s">
        <v>1929</v>
      </c>
      <c r="B1672" s="7">
        <v>4403</v>
      </c>
      <c r="C1672" s="7" t="str">
        <f t="shared" si="73"/>
        <v>100201000</v>
      </c>
      <c r="D1672" s="7" t="s">
        <v>2014</v>
      </c>
      <c r="E1672" s="7">
        <v>5730</v>
      </c>
      <c r="F1672" s="7" t="str">
        <f>"100201443"</f>
        <v>100201443</v>
      </c>
      <c r="G1672" s="7" t="s">
        <v>16</v>
      </c>
      <c r="H1672" s="7">
        <v>396</v>
      </c>
      <c r="I1672" s="12">
        <v>0.9</v>
      </c>
    </row>
    <row r="1673" spans="1:9" ht="28.5">
      <c r="A1673" s="7" t="s">
        <v>2015</v>
      </c>
      <c r="B1673" s="7">
        <v>4422</v>
      </c>
      <c r="C1673" s="7" t="str">
        <f>"108660000"</f>
        <v>108660000</v>
      </c>
      <c r="D1673" s="7" t="s">
        <v>2016</v>
      </c>
      <c r="E1673" s="7">
        <v>5861</v>
      </c>
      <c r="F1673" s="7" t="str">
        <f>"108660201"</f>
        <v>108660201</v>
      </c>
      <c r="H1673" s="7">
        <v>18</v>
      </c>
      <c r="I1673" s="11" t="s">
        <v>17</v>
      </c>
    </row>
    <row r="1674" spans="1:9">
      <c r="A1674" s="7" t="s">
        <v>2015</v>
      </c>
      <c r="B1674" s="7">
        <v>4422</v>
      </c>
      <c r="C1674" s="7" t="str">
        <f>"108660000"</f>
        <v>108660000</v>
      </c>
      <c r="D1674" s="7" t="s">
        <v>2017</v>
      </c>
      <c r="E1674" s="7">
        <v>90286</v>
      </c>
      <c r="F1674" s="7" t="str">
        <f>"108660202"</f>
        <v>108660202</v>
      </c>
      <c r="H1674" s="7">
        <v>43</v>
      </c>
      <c r="I1674" s="11">
        <v>0.84</v>
      </c>
    </row>
    <row r="1675" spans="1:9" ht="28.5">
      <c r="A1675" s="7" t="s">
        <v>2018</v>
      </c>
      <c r="B1675" s="7">
        <v>4277</v>
      </c>
      <c r="C1675" s="7" t="str">
        <f>"070462000"</f>
        <v>070462000</v>
      </c>
      <c r="D1675" s="7" t="s">
        <v>2019</v>
      </c>
      <c r="E1675" s="7">
        <v>89592</v>
      </c>
      <c r="F1675" s="7" t="str">
        <f>"070462103"</f>
        <v>070462103</v>
      </c>
      <c r="G1675" s="7" t="s">
        <v>16</v>
      </c>
      <c r="H1675" s="7">
        <v>715</v>
      </c>
      <c r="I1675" s="12">
        <v>0.66</v>
      </c>
    </row>
    <row r="1676" spans="1:9" ht="28.5">
      <c r="A1676" s="7" t="s">
        <v>2018</v>
      </c>
      <c r="B1676" s="7">
        <v>4277</v>
      </c>
      <c r="C1676" s="7" t="str">
        <f>"070462000"</f>
        <v>070462000</v>
      </c>
      <c r="D1676" s="7" t="s">
        <v>2020</v>
      </c>
      <c r="E1676" s="7">
        <v>87523</v>
      </c>
      <c r="F1676" s="7" t="str">
        <f>"070462102"</f>
        <v>070462102</v>
      </c>
      <c r="G1676" s="7" t="s">
        <v>16</v>
      </c>
      <c r="H1676" s="7">
        <v>737</v>
      </c>
      <c r="I1676" s="12">
        <v>0.66</v>
      </c>
    </row>
    <row r="1677" spans="1:9" ht="28.5">
      <c r="A1677" s="7" t="s">
        <v>2018</v>
      </c>
      <c r="B1677" s="7">
        <v>4277</v>
      </c>
      <c r="C1677" s="7" t="str">
        <f>"070462000"</f>
        <v>070462000</v>
      </c>
      <c r="D1677" s="7" t="s">
        <v>2021</v>
      </c>
      <c r="E1677" s="7">
        <v>5359</v>
      </c>
      <c r="F1677" s="7" t="str">
        <f>"070462101"</f>
        <v>070462101</v>
      </c>
      <c r="G1677" s="7" t="s">
        <v>16</v>
      </c>
      <c r="H1677" s="7">
        <v>390</v>
      </c>
      <c r="I1677" s="12">
        <v>0.78</v>
      </c>
    </row>
    <row r="1678" spans="1:9">
      <c r="A1678" s="7" t="s">
        <v>2022</v>
      </c>
      <c r="B1678" s="7">
        <v>4413</v>
      </c>
      <c r="C1678" s="7" t="str">
        <f t="shared" ref="C1678:C1696" si="74">"100220000"</f>
        <v>100220000</v>
      </c>
      <c r="D1678" s="7" t="s">
        <v>2023</v>
      </c>
      <c r="E1678" s="7">
        <v>91168</v>
      </c>
      <c r="F1678" s="7" t="str">
        <f>"100220119"</f>
        <v>100220119</v>
      </c>
      <c r="H1678" s="7">
        <v>730</v>
      </c>
      <c r="I1678" s="11">
        <v>0.31</v>
      </c>
    </row>
    <row r="1679" spans="1:9">
      <c r="A1679" s="7" t="s">
        <v>2022</v>
      </c>
      <c r="B1679" s="7">
        <v>4413</v>
      </c>
      <c r="C1679" s="7" t="str">
        <f t="shared" si="74"/>
        <v>100220000</v>
      </c>
      <c r="D1679" s="7" t="s">
        <v>2024</v>
      </c>
      <c r="E1679" s="7">
        <v>91292</v>
      </c>
      <c r="F1679" s="7" t="str">
        <f>"100220204"</f>
        <v>100220204</v>
      </c>
      <c r="H1679" s="7">
        <v>726</v>
      </c>
      <c r="I1679" s="11">
        <v>0.3</v>
      </c>
    </row>
    <row r="1680" spans="1:9">
      <c r="A1680" s="7" t="s">
        <v>2022</v>
      </c>
      <c r="B1680" s="7">
        <v>4413</v>
      </c>
      <c r="C1680" s="7" t="str">
        <f t="shared" si="74"/>
        <v>100220000</v>
      </c>
      <c r="D1680" s="7" t="s">
        <v>2025</v>
      </c>
      <c r="E1680" s="7">
        <v>79721</v>
      </c>
      <c r="F1680" s="7" t="str">
        <f>"100220201"</f>
        <v>100220201</v>
      </c>
      <c r="H1680" s="7">
        <v>1884</v>
      </c>
      <c r="I1680" s="11">
        <v>0.28000000000000003</v>
      </c>
    </row>
    <row r="1681" spans="1:9">
      <c r="A1681" s="7" t="s">
        <v>2022</v>
      </c>
      <c r="B1681" s="7">
        <v>4413</v>
      </c>
      <c r="C1681" s="7" t="str">
        <f t="shared" si="74"/>
        <v>100220000</v>
      </c>
      <c r="D1681" s="7" t="s">
        <v>2026</v>
      </c>
      <c r="E1681" s="7">
        <v>93000</v>
      </c>
      <c r="F1681" s="7" t="str">
        <f>"100220117"</f>
        <v>100220117</v>
      </c>
      <c r="H1681" s="7">
        <v>377</v>
      </c>
      <c r="I1681" s="11">
        <v>0.26</v>
      </c>
    </row>
    <row r="1682" spans="1:9">
      <c r="A1682" s="7" t="s">
        <v>2022</v>
      </c>
      <c r="B1682" s="7">
        <v>4413</v>
      </c>
      <c r="C1682" s="7" t="str">
        <f t="shared" si="74"/>
        <v>100220000</v>
      </c>
      <c r="D1682" s="7" t="s">
        <v>2027</v>
      </c>
      <c r="E1682" s="7">
        <v>87470</v>
      </c>
      <c r="F1682" s="7" t="str">
        <f>"100220110"</f>
        <v>100220110</v>
      </c>
      <c r="H1682" s="7">
        <v>588</v>
      </c>
      <c r="I1682" s="11">
        <v>0.23</v>
      </c>
    </row>
    <row r="1683" spans="1:9">
      <c r="A1683" s="7" t="s">
        <v>2022</v>
      </c>
      <c r="B1683" s="7">
        <v>4413</v>
      </c>
      <c r="C1683" s="7" t="str">
        <f t="shared" si="74"/>
        <v>100220000</v>
      </c>
      <c r="D1683" s="7" t="s">
        <v>297</v>
      </c>
      <c r="E1683" s="7">
        <v>79719</v>
      </c>
      <c r="F1683" s="7" t="str">
        <f>"100220107"</f>
        <v>100220107</v>
      </c>
      <c r="H1683" s="7">
        <v>531</v>
      </c>
      <c r="I1683" s="11">
        <v>0.41</v>
      </c>
    </row>
    <row r="1684" spans="1:9">
      <c r="A1684" s="7" t="s">
        <v>2022</v>
      </c>
      <c r="B1684" s="7">
        <v>4413</v>
      </c>
      <c r="C1684" s="7" t="str">
        <f t="shared" si="74"/>
        <v>100220000</v>
      </c>
      <c r="D1684" s="7" t="s">
        <v>499</v>
      </c>
      <c r="E1684" s="7">
        <v>79720</v>
      </c>
      <c r="F1684" s="7" t="str">
        <f>"100220108"</f>
        <v>100220108</v>
      </c>
      <c r="H1684" s="7">
        <v>759</v>
      </c>
      <c r="I1684" s="11">
        <v>0.34</v>
      </c>
    </row>
    <row r="1685" spans="1:9">
      <c r="A1685" s="7" t="s">
        <v>2022</v>
      </c>
      <c r="B1685" s="7">
        <v>4413</v>
      </c>
      <c r="C1685" s="7" t="str">
        <f t="shared" si="74"/>
        <v>100220000</v>
      </c>
      <c r="D1685" s="7" t="s">
        <v>298</v>
      </c>
      <c r="E1685" s="7">
        <v>5851</v>
      </c>
      <c r="F1685" s="7" t="str">
        <f>"100220105"</f>
        <v>100220105</v>
      </c>
      <c r="H1685" s="7">
        <v>771</v>
      </c>
      <c r="I1685" s="11">
        <v>0.41</v>
      </c>
    </row>
    <row r="1686" spans="1:9">
      <c r="A1686" s="7" t="s">
        <v>2022</v>
      </c>
      <c r="B1686" s="7">
        <v>4413</v>
      </c>
      <c r="C1686" s="7" t="str">
        <f t="shared" si="74"/>
        <v>100220000</v>
      </c>
      <c r="D1686" s="7" t="s">
        <v>2028</v>
      </c>
      <c r="E1686" s="7">
        <v>87875</v>
      </c>
      <c r="F1686" s="7" t="str">
        <f>"100220203"</f>
        <v>100220203</v>
      </c>
      <c r="H1686" s="7">
        <v>885</v>
      </c>
      <c r="I1686" s="11">
        <v>0.25</v>
      </c>
    </row>
    <row r="1687" spans="1:9">
      <c r="A1687" s="7" t="s">
        <v>2022</v>
      </c>
      <c r="B1687" s="7">
        <v>4413</v>
      </c>
      <c r="C1687" s="7" t="str">
        <f t="shared" si="74"/>
        <v>100220000</v>
      </c>
      <c r="D1687" s="7" t="s">
        <v>2029</v>
      </c>
      <c r="E1687" s="7">
        <v>92376</v>
      </c>
      <c r="F1687" s="7" t="str">
        <f>"100220115"</f>
        <v>100220115</v>
      </c>
      <c r="H1687" s="7">
        <v>738</v>
      </c>
      <c r="I1687" s="11">
        <v>0.19</v>
      </c>
    </row>
    <row r="1688" spans="1:9">
      <c r="A1688" s="7" t="s">
        <v>2022</v>
      </c>
      <c r="B1688" s="7">
        <v>4413</v>
      </c>
      <c r="C1688" s="7" t="str">
        <f t="shared" si="74"/>
        <v>100220000</v>
      </c>
      <c r="D1688" s="7" t="s">
        <v>301</v>
      </c>
      <c r="E1688" s="7">
        <v>91169</v>
      </c>
      <c r="F1688" s="7" t="str">
        <f>"100220120"</f>
        <v>100220120</v>
      </c>
      <c r="H1688" s="7">
        <v>673</v>
      </c>
      <c r="I1688" s="11">
        <v>0.34</v>
      </c>
    </row>
    <row r="1689" spans="1:9">
      <c r="A1689" s="7" t="s">
        <v>2022</v>
      </c>
      <c r="B1689" s="7">
        <v>4413</v>
      </c>
      <c r="C1689" s="7" t="str">
        <f t="shared" si="74"/>
        <v>100220000</v>
      </c>
      <c r="D1689" s="7" t="s">
        <v>2030</v>
      </c>
      <c r="E1689" s="7">
        <v>1000597</v>
      </c>
      <c r="F1689" s="7" t="str">
        <f>"100220206"</f>
        <v>100220206</v>
      </c>
      <c r="H1689" s="7">
        <v>1320</v>
      </c>
      <c r="I1689" s="11">
        <v>0.23</v>
      </c>
    </row>
    <row r="1690" spans="1:9">
      <c r="A1690" s="7" t="s">
        <v>2022</v>
      </c>
      <c r="B1690" s="7">
        <v>4413</v>
      </c>
      <c r="C1690" s="7" t="str">
        <f t="shared" si="74"/>
        <v>100220000</v>
      </c>
      <c r="D1690" s="7" t="s">
        <v>2031</v>
      </c>
      <c r="E1690" s="7">
        <v>89575</v>
      </c>
      <c r="F1690" s="7" t="str">
        <f>"100220112"</f>
        <v>100220112</v>
      </c>
      <c r="H1690" s="7">
        <v>726</v>
      </c>
      <c r="I1690" s="11">
        <v>0.22</v>
      </c>
    </row>
    <row r="1691" spans="1:9">
      <c r="A1691" s="7" t="s">
        <v>2022</v>
      </c>
      <c r="B1691" s="7">
        <v>4413</v>
      </c>
      <c r="C1691" s="7" t="str">
        <f t="shared" si="74"/>
        <v>100220000</v>
      </c>
      <c r="D1691" s="7" t="s">
        <v>2032</v>
      </c>
      <c r="E1691" s="7">
        <v>5850</v>
      </c>
      <c r="F1691" s="7" t="str">
        <f>"100220104"</f>
        <v>100220104</v>
      </c>
      <c r="H1691" s="7">
        <v>793</v>
      </c>
      <c r="I1691" s="11">
        <v>0.24</v>
      </c>
    </row>
    <row r="1692" spans="1:9">
      <c r="A1692" s="7" t="s">
        <v>2022</v>
      </c>
      <c r="B1692" s="7">
        <v>4413</v>
      </c>
      <c r="C1692" s="7" t="str">
        <f t="shared" si="74"/>
        <v>100220000</v>
      </c>
      <c r="D1692" s="7" t="s">
        <v>2033</v>
      </c>
      <c r="E1692" s="7">
        <v>84665</v>
      </c>
      <c r="F1692" s="7" t="str">
        <f>"100220202"</f>
        <v>100220202</v>
      </c>
      <c r="H1692" s="7">
        <v>92</v>
      </c>
      <c r="I1692" s="11">
        <v>0.6</v>
      </c>
    </row>
    <row r="1693" spans="1:9">
      <c r="A1693" s="7" t="s">
        <v>2022</v>
      </c>
      <c r="B1693" s="7">
        <v>4413</v>
      </c>
      <c r="C1693" s="7" t="str">
        <f t="shared" si="74"/>
        <v>100220000</v>
      </c>
      <c r="D1693" s="7" t="s">
        <v>2034</v>
      </c>
      <c r="E1693" s="7">
        <v>90156</v>
      </c>
      <c r="F1693" s="7" t="str">
        <f>"100220114"</f>
        <v>100220114</v>
      </c>
      <c r="H1693" s="7">
        <v>715</v>
      </c>
      <c r="I1693" s="11">
        <v>0.32</v>
      </c>
    </row>
    <row r="1694" spans="1:9">
      <c r="A1694" s="7" t="s">
        <v>2022</v>
      </c>
      <c r="B1694" s="7">
        <v>4413</v>
      </c>
      <c r="C1694" s="7" t="str">
        <f t="shared" si="74"/>
        <v>100220000</v>
      </c>
      <c r="D1694" s="7" t="s">
        <v>2035</v>
      </c>
      <c r="E1694" s="7">
        <v>89749</v>
      </c>
      <c r="F1694" s="7" t="str">
        <f>"100220113"</f>
        <v>100220113</v>
      </c>
      <c r="H1694" s="7">
        <v>720</v>
      </c>
      <c r="I1694" s="11">
        <v>0.28999999999999998</v>
      </c>
    </row>
    <row r="1695" spans="1:9">
      <c r="A1695" s="7" t="s">
        <v>2022</v>
      </c>
      <c r="B1695" s="7">
        <v>4413</v>
      </c>
      <c r="C1695" s="7" t="str">
        <f t="shared" si="74"/>
        <v>100220000</v>
      </c>
      <c r="D1695" s="7" t="s">
        <v>2036</v>
      </c>
      <c r="E1695" s="7">
        <v>80871</v>
      </c>
      <c r="F1695" s="7" t="str">
        <f>"100220109"</f>
        <v>100220109</v>
      </c>
      <c r="H1695" s="7">
        <v>671</v>
      </c>
      <c r="I1695" s="11">
        <v>0.3</v>
      </c>
    </row>
    <row r="1696" spans="1:9">
      <c r="A1696" s="7" t="s">
        <v>2022</v>
      </c>
      <c r="B1696" s="7">
        <v>4413</v>
      </c>
      <c r="C1696" s="7" t="str">
        <f t="shared" si="74"/>
        <v>100220000</v>
      </c>
      <c r="D1696" s="7" t="s">
        <v>2037</v>
      </c>
      <c r="E1696" s="7">
        <v>10855</v>
      </c>
      <c r="F1696" s="7" t="str">
        <f>"100220205"</f>
        <v>100220205</v>
      </c>
      <c r="H1696" s="7">
        <v>572</v>
      </c>
      <c r="I1696" s="11">
        <v>0.36</v>
      </c>
    </row>
    <row r="1697" spans="1:9" ht="28.5">
      <c r="A1697" s="7" t="s">
        <v>2038</v>
      </c>
      <c r="B1697" s="7">
        <v>4162</v>
      </c>
      <c r="C1697" s="7" t="str">
        <f>"010309000"</f>
        <v>010309000</v>
      </c>
      <c r="D1697" s="7" t="s">
        <v>2039</v>
      </c>
      <c r="E1697" s="7">
        <v>4744</v>
      </c>
      <c r="F1697" s="7" t="str">
        <f>"010309101"</f>
        <v>010309101</v>
      </c>
      <c r="G1697" s="7" t="s">
        <v>16</v>
      </c>
      <c r="H1697" s="7">
        <v>129</v>
      </c>
      <c r="I1697" s="11">
        <v>0.7</v>
      </c>
    </row>
    <row r="1698" spans="1:9">
      <c r="A1698" s="7" t="s">
        <v>2040</v>
      </c>
      <c r="B1698" s="7">
        <v>92985</v>
      </c>
      <c r="C1698" s="7" t="str">
        <f>"078410000"</f>
        <v>078410000</v>
      </c>
      <c r="D1698" s="7" t="s">
        <v>2041</v>
      </c>
      <c r="E1698" s="7">
        <v>829726</v>
      </c>
      <c r="F1698" s="7" t="str">
        <f>"078410001"</f>
        <v>078410001</v>
      </c>
      <c r="G1698" s="7" t="s">
        <v>26</v>
      </c>
      <c r="H1698" s="7">
        <v>319</v>
      </c>
      <c r="I1698" s="11">
        <v>0.87</v>
      </c>
    </row>
    <row r="1699" spans="1:9" ht="28.5">
      <c r="A1699" s="7" t="s">
        <v>2042</v>
      </c>
      <c r="B1699" s="7">
        <v>91948</v>
      </c>
      <c r="C1699" s="7" t="str">
        <f>"078224000"</f>
        <v>078224000</v>
      </c>
      <c r="D1699" s="7" t="s">
        <v>2043</v>
      </c>
      <c r="E1699" s="7">
        <v>551692</v>
      </c>
      <c r="F1699" s="7" t="str">
        <f>"078224002"</f>
        <v>078224002</v>
      </c>
      <c r="G1699" s="7" t="s">
        <v>16</v>
      </c>
      <c r="H1699" s="7">
        <v>434</v>
      </c>
      <c r="I1699" s="11">
        <v>0.73</v>
      </c>
    </row>
    <row r="1700" spans="1:9" ht="28.5">
      <c r="A1700" s="7" t="s">
        <v>2042</v>
      </c>
      <c r="B1700" s="7">
        <v>91948</v>
      </c>
      <c r="C1700" s="7" t="str">
        <f>"078224000"</f>
        <v>078224000</v>
      </c>
      <c r="D1700" s="7" t="s">
        <v>2044</v>
      </c>
      <c r="E1700" s="7">
        <v>425015</v>
      </c>
      <c r="F1700" s="7" t="str">
        <f>"078224003"</f>
        <v>078224003</v>
      </c>
      <c r="G1700" s="7" t="s">
        <v>16</v>
      </c>
      <c r="H1700" s="7">
        <v>517</v>
      </c>
      <c r="I1700" s="11">
        <v>0.71</v>
      </c>
    </row>
    <row r="1701" spans="1:9" ht="28.5">
      <c r="A1701" s="7" t="s">
        <v>2042</v>
      </c>
      <c r="B1701" s="7">
        <v>91948</v>
      </c>
      <c r="C1701" s="7" t="str">
        <f>"078224000"</f>
        <v>078224000</v>
      </c>
      <c r="D1701" s="7" t="s">
        <v>2045</v>
      </c>
      <c r="E1701" s="7">
        <v>92177</v>
      </c>
      <c r="F1701" s="7" t="str">
        <f>"078224001"</f>
        <v>078224001</v>
      </c>
      <c r="G1701" s="7" t="s">
        <v>16</v>
      </c>
      <c r="H1701" s="7">
        <v>244</v>
      </c>
      <c r="I1701" s="11">
        <v>0.81</v>
      </c>
    </row>
    <row r="1702" spans="1:9" ht="28.5">
      <c r="A1702" s="7" t="s">
        <v>2042</v>
      </c>
      <c r="B1702" s="7">
        <v>91948</v>
      </c>
      <c r="C1702" s="7" t="str">
        <f>"078224000"</f>
        <v>078224000</v>
      </c>
      <c r="D1702" s="7" t="s">
        <v>2046</v>
      </c>
      <c r="E1702" s="7">
        <v>1000375</v>
      </c>
      <c r="F1702" s="7" t="str">
        <f>"078224005"</f>
        <v>078224005</v>
      </c>
      <c r="G1702" s="7" t="s">
        <v>16</v>
      </c>
      <c r="H1702" s="7">
        <v>192</v>
      </c>
      <c r="I1702" s="11">
        <v>0.87</v>
      </c>
    </row>
    <row r="1703" spans="1:9" ht="28.5">
      <c r="A1703" s="7" t="s">
        <v>2042</v>
      </c>
      <c r="B1703" s="7">
        <v>91948</v>
      </c>
      <c r="C1703" s="7" t="str">
        <f>"078224000"</f>
        <v>078224000</v>
      </c>
      <c r="D1703" s="7" t="s">
        <v>2047</v>
      </c>
      <c r="E1703" s="7">
        <v>1000376</v>
      </c>
      <c r="F1703" s="7" t="str">
        <f>"078224006"</f>
        <v>078224006</v>
      </c>
      <c r="G1703" s="7" t="s">
        <v>16</v>
      </c>
      <c r="H1703" s="7">
        <v>117</v>
      </c>
      <c r="I1703" s="11">
        <v>0.93</v>
      </c>
    </row>
    <row r="1704" spans="1:9" ht="28.5">
      <c r="A1704" s="7" t="s">
        <v>2048</v>
      </c>
      <c r="B1704" s="7">
        <v>4260</v>
      </c>
      <c r="C1704" s="7" t="str">
        <f t="shared" ref="C1704:C1735" si="75">"070406000"</f>
        <v>070406000</v>
      </c>
      <c r="D1704" s="7" t="s">
        <v>2049</v>
      </c>
      <c r="E1704" s="7">
        <v>5274</v>
      </c>
      <c r="F1704" s="7" t="str">
        <f>"070406167"</f>
        <v>070406167</v>
      </c>
      <c r="G1704" s="7" t="s">
        <v>16</v>
      </c>
      <c r="H1704" s="7">
        <v>550</v>
      </c>
      <c r="I1704" s="12">
        <v>0.34</v>
      </c>
    </row>
    <row r="1705" spans="1:9" ht="28.5">
      <c r="A1705" s="7" t="s">
        <v>2048</v>
      </c>
      <c r="B1705" s="7">
        <v>4260</v>
      </c>
      <c r="C1705" s="7" t="str">
        <f t="shared" si="75"/>
        <v>070406000</v>
      </c>
      <c r="D1705" s="7" t="s">
        <v>2023</v>
      </c>
      <c r="E1705" s="7">
        <v>5244</v>
      </c>
      <c r="F1705" s="7" t="str">
        <f>"070406114"</f>
        <v>070406114</v>
      </c>
      <c r="G1705" s="7" t="s">
        <v>16</v>
      </c>
      <c r="H1705" s="7">
        <v>837</v>
      </c>
      <c r="I1705" s="12">
        <v>0.68</v>
      </c>
    </row>
    <row r="1706" spans="1:9" ht="28.5">
      <c r="A1706" s="7" t="s">
        <v>2048</v>
      </c>
      <c r="B1706" s="7">
        <v>4260</v>
      </c>
      <c r="C1706" s="7" t="str">
        <f t="shared" si="75"/>
        <v>070406000</v>
      </c>
      <c r="D1706" s="7" t="s">
        <v>2050</v>
      </c>
      <c r="E1706" s="7">
        <v>5245</v>
      </c>
      <c r="F1706" s="7" t="str">
        <f>"070406116"</f>
        <v>070406116</v>
      </c>
      <c r="G1706" s="7" t="s">
        <v>16</v>
      </c>
      <c r="H1706" s="7">
        <v>540</v>
      </c>
      <c r="I1706" s="11" t="s">
        <v>17</v>
      </c>
    </row>
    <row r="1707" spans="1:9" ht="28.5">
      <c r="A1707" s="7" t="s">
        <v>2048</v>
      </c>
      <c r="B1707" s="7">
        <v>4260</v>
      </c>
      <c r="C1707" s="7" t="str">
        <f t="shared" si="75"/>
        <v>070406000</v>
      </c>
      <c r="D1707" s="7" t="s">
        <v>2051</v>
      </c>
      <c r="E1707" s="7">
        <v>5246</v>
      </c>
      <c r="F1707" s="7" t="str">
        <f>"070406118"</f>
        <v>070406118</v>
      </c>
      <c r="G1707" s="7" t="s">
        <v>16</v>
      </c>
      <c r="H1707" s="7">
        <v>565</v>
      </c>
      <c r="I1707" s="12">
        <v>0.65</v>
      </c>
    </row>
    <row r="1708" spans="1:9" ht="28.5">
      <c r="A1708" s="7" t="s">
        <v>2048</v>
      </c>
      <c r="B1708" s="7">
        <v>4260</v>
      </c>
      <c r="C1708" s="7" t="str">
        <f t="shared" si="75"/>
        <v>070406000</v>
      </c>
      <c r="D1708" s="7" t="s">
        <v>2052</v>
      </c>
      <c r="E1708" s="7">
        <v>5247</v>
      </c>
      <c r="F1708" s="7" t="str">
        <f>"070406120"</f>
        <v>070406120</v>
      </c>
      <c r="G1708" s="7" t="s">
        <v>16</v>
      </c>
      <c r="H1708" s="7">
        <v>459</v>
      </c>
      <c r="I1708" s="12">
        <v>0.94</v>
      </c>
    </row>
    <row r="1709" spans="1:9" ht="28.5">
      <c r="A1709" s="7" t="s">
        <v>2048</v>
      </c>
      <c r="B1709" s="7">
        <v>4260</v>
      </c>
      <c r="C1709" s="7" t="str">
        <f t="shared" si="75"/>
        <v>070406000</v>
      </c>
      <c r="D1709" s="7" t="s">
        <v>831</v>
      </c>
      <c r="E1709" s="7">
        <v>5248</v>
      </c>
      <c r="F1709" s="7" t="str">
        <f>"070406122"</f>
        <v>070406122</v>
      </c>
      <c r="G1709" s="7" t="s">
        <v>16</v>
      </c>
      <c r="H1709" s="7">
        <v>435</v>
      </c>
      <c r="I1709" s="12">
        <v>0.6</v>
      </c>
    </row>
    <row r="1710" spans="1:9" ht="28.5">
      <c r="A1710" s="7" t="s">
        <v>2048</v>
      </c>
      <c r="B1710" s="7">
        <v>4260</v>
      </c>
      <c r="C1710" s="7" t="str">
        <f t="shared" si="75"/>
        <v>070406000</v>
      </c>
      <c r="D1710" s="7" t="s">
        <v>2053</v>
      </c>
      <c r="E1710" s="7">
        <v>5249</v>
      </c>
      <c r="F1710" s="7" t="str">
        <f>"070406124"</f>
        <v>070406124</v>
      </c>
      <c r="G1710" s="7" t="s">
        <v>16</v>
      </c>
      <c r="H1710" s="7">
        <v>636</v>
      </c>
      <c r="I1710" s="12">
        <v>0.64</v>
      </c>
    </row>
    <row r="1711" spans="1:9" ht="28.5">
      <c r="A1711" s="7" t="s">
        <v>2048</v>
      </c>
      <c r="B1711" s="7">
        <v>4260</v>
      </c>
      <c r="C1711" s="7" t="str">
        <f t="shared" si="75"/>
        <v>070406000</v>
      </c>
      <c r="D1711" s="7" t="s">
        <v>2054</v>
      </c>
      <c r="E1711" s="7">
        <v>5250</v>
      </c>
      <c r="F1711" s="7" t="str">
        <f>"070406126"</f>
        <v>070406126</v>
      </c>
      <c r="G1711" s="7" t="s">
        <v>16</v>
      </c>
      <c r="H1711" s="7">
        <v>626</v>
      </c>
      <c r="I1711" s="12">
        <v>0.57999999999999996</v>
      </c>
    </row>
    <row r="1712" spans="1:9" ht="28.5">
      <c r="A1712" s="7" t="s">
        <v>2048</v>
      </c>
      <c r="B1712" s="7">
        <v>4260</v>
      </c>
      <c r="C1712" s="7" t="str">
        <f t="shared" si="75"/>
        <v>070406000</v>
      </c>
      <c r="D1712" s="7" t="s">
        <v>2055</v>
      </c>
      <c r="E1712" s="7">
        <v>5251</v>
      </c>
      <c r="F1712" s="7" t="str">
        <f>"070406128"</f>
        <v>070406128</v>
      </c>
      <c r="G1712" s="7" t="s">
        <v>16</v>
      </c>
      <c r="H1712" s="7">
        <v>337</v>
      </c>
      <c r="I1712" s="12">
        <v>0.81</v>
      </c>
    </row>
    <row r="1713" spans="1:9" ht="28.5">
      <c r="A1713" s="7" t="s">
        <v>2048</v>
      </c>
      <c r="B1713" s="7">
        <v>4260</v>
      </c>
      <c r="C1713" s="7" t="str">
        <f t="shared" si="75"/>
        <v>070406000</v>
      </c>
      <c r="D1713" s="7" t="s">
        <v>1118</v>
      </c>
      <c r="E1713" s="7">
        <v>5252</v>
      </c>
      <c r="F1713" s="7" t="str">
        <f>"070406130"</f>
        <v>070406130</v>
      </c>
      <c r="G1713" s="7" t="s">
        <v>16</v>
      </c>
      <c r="H1713" s="7">
        <v>437</v>
      </c>
      <c r="I1713" s="12">
        <v>0.63</v>
      </c>
    </row>
    <row r="1714" spans="1:9" ht="28.5">
      <c r="A1714" s="7" t="s">
        <v>2048</v>
      </c>
      <c r="B1714" s="7">
        <v>4260</v>
      </c>
      <c r="C1714" s="7" t="str">
        <f t="shared" si="75"/>
        <v>070406000</v>
      </c>
      <c r="D1714" s="7" t="s">
        <v>2056</v>
      </c>
      <c r="E1714" s="7">
        <v>5253</v>
      </c>
      <c r="F1714" s="7" t="str">
        <f>"070406131"</f>
        <v>070406131</v>
      </c>
      <c r="G1714" s="7" t="s">
        <v>16</v>
      </c>
      <c r="H1714" s="7">
        <v>399</v>
      </c>
      <c r="I1714" s="12">
        <v>0.63</v>
      </c>
    </row>
    <row r="1715" spans="1:9" ht="28.5">
      <c r="A1715" s="7" t="s">
        <v>2048</v>
      </c>
      <c r="B1715" s="7">
        <v>4260</v>
      </c>
      <c r="C1715" s="7" t="str">
        <f t="shared" si="75"/>
        <v>070406000</v>
      </c>
      <c r="D1715" s="7" t="s">
        <v>2057</v>
      </c>
      <c r="E1715" s="7">
        <v>5254</v>
      </c>
      <c r="F1715" s="7" t="str">
        <f>"070406132"</f>
        <v>070406132</v>
      </c>
      <c r="G1715" s="7" t="s">
        <v>16</v>
      </c>
      <c r="H1715" s="7">
        <v>475</v>
      </c>
      <c r="I1715" s="12">
        <v>0.75</v>
      </c>
    </row>
    <row r="1716" spans="1:9" ht="28.5">
      <c r="A1716" s="7" t="s">
        <v>2048</v>
      </c>
      <c r="B1716" s="7">
        <v>4260</v>
      </c>
      <c r="C1716" s="7" t="str">
        <f t="shared" si="75"/>
        <v>070406000</v>
      </c>
      <c r="D1716" s="7" t="s">
        <v>2058</v>
      </c>
      <c r="E1716" s="7">
        <v>5255</v>
      </c>
      <c r="F1716" s="7" t="str">
        <f>"070406134"</f>
        <v>070406134</v>
      </c>
      <c r="G1716" s="7" t="s">
        <v>16</v>
      </c>
      <c r="H1716" s="7">
        <v>988</v>
      </c>
      <c r="I1716" s="12">
        <v>0.25</v>
      </c>
    </row>
    <row r="1717" spans="1:9" ht="28.5">
      <c r="A1717" s="7" t="s">
        <v>2048</v>
      </c>
      <c r="B1717" s="7">
        <v>4260</v>
      </c>
      <c r="C1717" s="7" t="str">
        <f t="shared" si="75"/>
        <v>070406000</v>
      </c>
      <c r="D1717" s="7" t="s">
        <v>2059</v>
      </c>
      <c r="E1717" s="7">
        <v>5256</v>
      </c>
      <c r="F1717" s="7" t="str">
        <f>"070406136"</f>
        <v>070406136</v>
      </c>
      <c r="G1717" s="7" t="s">
        <v>16</v>
      </c>
      <c r="H1717" s="7">
        <v>580</v>
      </c>
      <c r="I1717" s="12">
        <v>0.78</v>
      </c>
    </row>
    <row r="1718" spans="1:9" ht="28.5">
      <c r="A1718" s="7" t="s">
        <v>2048</v>
      </c>
      <c r="B1718" s="7">
        <v>4260</v>
      </c>
      <c r="C1718" s="7" t="str">
        <f t="shared" si="75"/>
        <v>070406000</v>
      </c>
      <c r="D1718" s="7" t="s">
        <v>2060</v>
      </c>
      <c r="E1718" s="7">
        <v>5257</v>
      </c>
      <c r="F1718" s="7" t="str">
        <f>"070406138"</f>
        <v>070406138</v>
      </c>
      <c r="G1718" s="7" t="s">
        <v>16</v>
      </c>
      <c r="H1718" s="7">
        <v>612</v>
      </c>
      <c r="I1718" s="11" t="s">
        <v>17</v>
      </c>
    </row>
    <row r="1719" spans="1:9" ht="28.5">
      <c r="A1719" s="7" t="s">
        <v>2048</v>
      </c>
      <c r="B1719" s="7">
        <v>4260</v>
      </c>
      <c r="C1719" s="7" t="str">
        <f t="shared" si="75"/>
        <v>070406000</v>
      </c>
      <c r="D1719" s="7" t="s">
        <v>2061</v>
      </c>
      <c r="E1719" s="7">
        <v>5258</v>
      </c>
      <c r="F1719" s="7" t="str">
        <f>"070406140"</f>
        <v>070406140</v>
      </c>
      <c r="G1719" s="7" t="s">
        <v>16</v>
      </c>
      <c r="H1719" s="7">
        <v>514</v>
      </c>
      <c r="I1719" s="12">
        <v>0.81</v>
      </c>
    </row>
    <row r="1720" spans="1:9" ht="28.5">
      <c r="A1720" s="7" t="s">
        <v>2048</v>
      </c>
      <c r="B1720" s="7">
        <v>4260</v>
      </c>
      <c r="C1720" s="7" t="str">
        <f t="shared" si="75"/>
        <v>070406000</v>
      </c>
      <c r="D1720" s="7" t="s">
        <v>2062</v>
      </c>
      <c r="E1720" s="7">
        <v>5259</v>
      </c>
      <c r="F1720" s="7" t="str">
        <f>"070406141"</f>
        <v>070406141</v>
      </c>
      <c r="G1720" s="7" t="s">
        <v>16</v>
      </c>
      <c r="H1720" s="7">
        <v>703</v>
      </c>
      <c r="I1720" s="12">
        <v>0.44</v>
      </c>
    </row>
    <row r="1721" spans="1:9" ht="28.5">
      <c r="A1721" s="7" t="s">
        <v>2048</v>
      </c>
      <c r="B1721" s="7">
        <v>4260</v>
      </c>
      <c r="C1721" s="7" t="str">
        <f t="shared" si="75"/>
        <v>070406000</v>
      </c>
      <c r="D1721" s="7" t="s">
        <v>864</v>
      </c>
      <c r="E1721" s="7">
        <v>5260</v>
      </c>
      <c r="F1721" s="7" t="str">
        <f>"070406142"</f>
        <v>070406142</v>
      </c>
      <c r="G1721" s="7" t="s">
        <v>16</v>
      </c>
      <c r="H1721" s="7">
        <v>1025</v>
      </c>
      <c r="I1721" s="12">
        <v>0.95</v>
      </c>
    </row>
    <row r="1722" spans="1:9" ht="28.5">
      <c r="A1722" s="7" t="s">
        <v>2048</v>
      </c>
      <c r="B1722" s="7">
        <v>4260</v>
      </c>
      <c r="C1722" s="7" t="str">
        <f t="shared" si="75"/>
        <v>070406000</v>
      </c>
      <c r="D1722" s="7" t="s">
        <v>2063</v>
      </c>
      <c r="E1722" s="7">
        <v>5261</v>
      </c>
      <c r="F1722" s="7" t="str">
        <f>"070406144"</f>
        <v>070406144</v>
      </c>
      <c r="G1722" s="7" t="s">
        <v>16</v>
      </c>
      <c r="H1722" s="7">
        <v>667</v>
      </c>
      <c r="I1722" s="12">
        <v>0.88</v>
      </c>
    </row>
    <row r="1723" spans="1:9" ht="28.5">
      <c r="A1723" s="7" t="s">
        <v>2048</v>
      </c>
      <c r="B1723" s="7">
        <v>4260</v>
      </c>
      <c r="C1723" s="7" t="str">
        <f t="shared" si="75"/>
        <v>070406000</v>
      </c>
      <c r="D1723" s="7" t="s">
        <v>2064</v>
      </c>
      <c r="E1723" s="7">
        <v>5262</v>
      </c>
      <c r="F1723" s="7" t="str">
        <f>"070406146"</f>
        <v>070406146</v>
      </c>
      <c r="G1723" s="7" t="s">
        <v>16</v>
      </c>
      <c r="H1723" s="7">
        <v>806</v>
      </c>
      <c r="I1723" s="12">
        <v>0.9</v>
      </c>
    </row>
    <row r="1724" spans="1:9" ht="28.5">
      <c r="A1724" s="7" t="s">
        <v>2048</v>
      </c>
      <c r="B1724" s="7">
        <v>4260</v>
      </c>
      <c r="C1724" s="7" t="str">
        <f t="shared" si="75"/>
        <v>070406000</v>
      </c>
      <c r="D1724" s="7" t="s">
        <v>2065</v>
      </c>
      <c r="E1724" s="7">
        <v>5263</v>
      </c>
      <c r="F1724" s="7" t="str">
        <f>"070406148"</f>
        <v>070406148</v>
      </c>
      <c r="G1724" s="7" t="s">
        <v>16</v>
      </c>
      <c r="H1724" s="7">
        <v>830</v>
      </c>
      <c r="I1724" s="12">
        <v>0.76</v>
      </c>
    </row>
    <row r="1725" spans="1:9" ht="28.5">
      <c r="A1725" s="7" t="s">
        <v>2048</v>
      </c>
      <c r="B1725" s="7">
        <v>4260</v>
      </c>
      <c r="C1725" s="7" t="str">
        <f t="shared" si="75"/>
        <v>070406000</v>
      </c>
      <c r="D1725" s="7" t="s">
        <v>2066</v>
      </c>
      <c r="E1725" s="7">
        <v>5264</v>
      </c>
      <c r="F1725" s="7" t="str">
        <f>"070406150"</f>
        <v>070406150</v>
      </c>
      <c r="G1725" s="7" t="s">
        <v>16</v>
      </c>
      <c r="H1725" s="7">
        <v>435</v>
      </c>
      <c r="I1725" s="12">
        <v>0.93</v>
      </c>
    </row>
    <row r="1726" spans="1:9" ht="28.5">
      <c r="A1726" s="7" t="s">
        <v>2048</v>
      </c>
      <c r="B1726" s="7">
        <v>4260</v>
      </c>
      <c r="C1726" s="7" t="str">
        <f t="shared" si="75"/>
        <v>070406000</v>
      </c>
      <c r="D1726" s="7" t="s">
        <v>1126</v>
      </c>
      <c r="E1726" s="7">
        <v>5265</v>
      </c>
      <c r="F1726" s="7" t="str">
        <f>"070406152"</f>
        <v>070406152</v>
      </c>
      <c r="G1726" s="7" t="s">
        <v>16</v>
      </c>
      <c r="H1726" s="7">
        <v>680</v>
      </c>
      <c r="I1726" s="12">
        <v>0.76</v>
      </c>
    </row>
    <row r="1727" spans="1:9" ht="28.5">
      <c r="A1727" s="7" t="s">
        <v>2048</v>
      </c>
      <c r="B1727" s="7">
        <v>4260</v>
      </c>
      <c r="C1727" s="7" t="str">
        <f t="shared" si="75"/>
        <v>070406000</v>
      </c>
      <c r="D1727" s="7" t="s">
        <v>2067</v>
      </c>
      <c r="E1727" s="7">
        <v>5266</v>
      </c>
      <c r="F1727" s="7" t="str">
        <f>"070406154"</f>
        <v>070406154</v>
      </c>
      <c r="G1727" s="7" t="s">
        <v>16</v>
      </c>
      <c r="H1727" s="7">
        <v>470</v>
      </c>
      <c r="I1727" s="12">
        <v>0.74</v>
      </c>
    </row>
    <row r="1728" spans="1:9" ht="28.5">
      <c r="A1728" s="7" t="s">
        <v>2048</v>
      </c>
      <c r="B1728" s="7">
        <v>4260</v>
      </c>
      <c r="C1728" s="7" t="str">
        <f t="shared" si="75"/>
        <v>070406000</v>
      </c>
      <c r="D1728" s="7" t="s">
        <v>2068</v>
      </c>
      <c r="E1728" s="7">
        <v>5267</v>
      </c>
      <c r="F1728" s="7" t="str">
        <f>"070406156"</f>
        <v>070406156</v>
      </c>
      <c r="G1728" s="7" t="s">
        <v>16</v>
      </c>
      <c r="H1728" s="7">
        <v>597</v>
      </c>
      <c r="I1728" s="12">
        <v>0.73</v>
      </c>
    </row>
    <row r="1729" spans="1:9" ht="28.5">
      <c r="A1729" s="7" t="s">
        <v>2048</v>
      </c>
      <c r="B1729" s="7">
        <v>4260</v>
      </c>
      <c r="C1729" s="7" t="str">
        <f t="shared" si="75"/>
        <v>070406000</v>
      </c>
      <c r="D1729" s="7" t="s">
        <v>2069</v>
      </c>
      <c r="E1729" s="7">
        <v>5268</v>
      </c>
      <c r="F1729" s="7" t="str">
        <f>"070406160"</f>
        <v>070406160</v>
      </c>
      <c r="G1729" s="7" t="s">
        <v>16</v>
      </c>
      <c r="H1729" s="7">
        <v>696</v>
      </c>
      <c r="I1729" s="12">
        <v>0.94</v>
      </c>
    </row>
    <row r="1730" spans="1:9" ht="28.5">
      <c r="A1730" s="7" t="s">
        <v>2048</v>
      </c>
      <c r="B1730" s="7">
        <v>4260</v>
      </c>
      <c r="C1730" s="7" t="str">
        <f t="shared" si="75"/>
        <v>070406000</v>
      </c>
      <c r="D1730" s="7" t="s">
        <v>2070</v>
      </c>
      <c r="E1730" s="7">
        <v>5269</v>
      </c>
      <c r="F1730" s="7" t="str">
        <f>"070406162"</f>
        <v>070406162</v>
      </c>
      <c r="G1730" s="7" t="s">
        <v>16</v>
      </c>
      <c r="H1730" s="7">
        <v>615</v>
      </c>
      <c r="I1730" s="12">
        <v>0.67</v>
      </c>
    </row>
    <row r="1731" spans="1:9" ht="28.5">
      <c r="A1731" s="7" t="s">
        <v>2048</v>
      </c>
      <c r="B1731" s="7">
        <v>4260</v>
      </c>
      <c r="C1731" s="7" t="str">
        <f t="shared" si="75"/>
        <v>070406000</v>
      </c>
      <c r="D1731" s="7" t="s">
        <v>2071</v>
      </c>
      <c r="E1731" s="7">
        <v>5271</v>
      </c>
      <c r="F1731" s="7" t="str">
        <f>"070406164"</f>
        <v>070406164</v>
      </c>
      <c r="G1731" s="7" t="s">
        <v>16</v>
      </c>
      <c r="H1731" s="7">
        <v>707</v>
      </c>
      <c r="I1731" s="12">
        <v>0.79</v>
      </c>
    </row>
    <row r="1732" spans="1:9" ht="28.5">
      <c r="A1732" s="7" t="s">
        <v>2048</v>
      </c>
      <c r="B1732" s="7">
        <v>4260</v>
      </c>
      <c r="C1732" s="7" t="str">
        <f t="shared" si="75"/>
        <v>070406000</v>
      </c>
      <c r="D1732" s="7" t="s">
        <v>289</v>
      </c>
      <c r="E1732" s="7">
        <v>5272</v>
      </c>
      <c r="F1732" s="7" t="str">
        <f>"070406165"</f>
        <v>070406165</v>
      </c>
      <c r="G1732" s="7" t="s">
        <v>16</v>
      </c>
      <c r="H1732" s="7">
        <v>540</v>
      </c>
      <c r="I1732" s="12">
        <v>0.69</v>
      </c>
    </row>
    <row r="1733" spans="1:9" ht="28.5">
      <c r="A1733" s="7" t="s">
        <v>2048</v>
      </c>
      <c r="B1733" s="7">
        <v>4260</v>
      </c>
      <c r="C1733" s="7" t="str">
        <f t="shared" si="75"/>
        <v>070406000</v>
      </c>
      <c r="D1733" s="7" t="s">
        <v>2072</v>
      </c>
      <c r="E1733" s="7">
        <v>5270</v>
      </c>
      <c r="F1733" s="7" t="str">
        <f>"070406163"</f>
        <v>070406163</v>
      </c>
      <c r="G1733" s="7" t="s">
        <v>16</v>
      </c>
      <c r="H1733" s="7">
        <v>479</v>
      </c>
      <c r="I1733" s="12">
        <v>0.61</v>
      </c>
    </row>
    <row r="1734" spans="1:9" ht="28.5">
      <c r="A1734" s="7" t="s">
        <v>2048</v>
      </c>
      <c r="B1734" s="7">
        <v>4260</v>
      </c>
      <c r="C1734" s="7" t="str">
        <f t="shared" si="75"/>
        <v>070406000</v>
      </c>
      <c r="D1734" s="7" t="s">
        <v>2073</v>
      </c>
      <c r="E1734" s="7">
        <v>5273</v>
      </c>
      <c r="F1734" s="7" t="str">
        <f>"070406166"</f>
        <v>070406166</v>
      </c>
      <c r="G1734" s="7" t="s">
        <v>16</v>
      </c>
      <c r="H1734" s="7">
        <v>470</v>
      </c>
      <c r="I1734" s="12">
        <v>0.61</v>
      </c>
    </row>
    <row r="1735" spans="1:9" ht="28.5">
      <c r="A1735" s="7" t="s">
        <v>2048</v>
      </c>
      <c r="B1735" s="7">
        <v>4260</v>
      </c>
      <c r="C1735" s="7" t="str">
        <f t="shared" si="75"/>
        <v>070406000</v>
      </c>
      <c r="D1735" s="7" t="s">
        <v>1232</v>
      </c>
      <c r="E1735" s="7">
        <v>5275</v>
      </c>
      <c r="F1735" s="7" t="str">
        <f>"070406168"</f>
        <v>070406168</v>
      </c>
      <c r="G1735" s="7" t="s">
        <v>16</v>
      </c>
      <c r="H1735" s="7">
        <v>762</v>
      </c>
      <c r="I1735" s="11" t="s">
        <v>17</v>
      </c>
    </row>
    <row r="1736" spans="1:9" ht="28.5">
      <c r="A1736" s="7" t="s">
        <v>2074</v>
      </c>
      <c r="B1736" s="7">
        <v>4504</v>
      </c>
      <c r="C1736" s="7" t="str">
        <f>"140424000"</f>
        <v>140424000</v>
      </c>
      <c r="D1736" s="7" t="s">
        <v>2075</v>
      </c>
      <c r="E1736" s="7">
        <v>6182</v>
      </c>
      <c r="F1736" s="7" t="str">
        <f>"140424101"</f>
        <v>140424101</v>
      </c>
      <c r="G1736" s="7" t="s">
        <v>16</v>
      </c>
      <c r="H1736" s="7">
        <v>181</v>
      </c>
      <c r="I1736" s="12">
        <v>0.66</v>
      </c>
    </row>
    <row r="1737" spans="1:9" ht="28.5">
      <c r="A1737" s="7" t="s">
        <v>2076</v>
      </c>
      <c r="B1737" s="7">
        <v>4512</v>
      </c>
      <c r="C1737" s="7" t="str">
        <f>"150419000"</f>
        <v>150419000</v>
      </c>
      <c r="D1737" s="7" t="s">
        <v>2077</v>
      </c>
      <c r="E1737" s="7">
        <v>6200</v>
      </c>
      <c r="F1737" s="7" t="str">
        <f>"150419101"</f>
        <v>150419101</v>
      </c>
      <c r="G1737" s="7" t="s">
        <v>16</v>
      </c>
      <c r="H1737" s="7">
        <v>79</v>
      </c>
      <c r="I1737" s="11">
        <v>0.77</v>
      </c>
    </row>
    <row r="1738" spans="1:9">
      <c r="A1738" s="7" t="s">
        <v>2078</v>
      </c>
      <c r="B1738" s="7">
        <v>79497</v>
      </c>
      <c r="C1738" s="7" t="str">
        <f>"078935000"</f>
        <v>078935000</v>
      </c>
      <c r="D1738" s="7" t="s">
        <v>2079</v>
      </c>
      <c r="E1738" s="7">
        <v>79508</v>
      </c>
      <c r="F1738" s="7" t="str">
        <f>"078935102"</f>
        <v>078935102</v>
      </c>
      <c r="H1738" s="7">
        <v>406</v>
      </c>
      <c r="I1738" s="11">
        <v>0.69</v>
      </c>
    </row>
    <row r="1739" spans="1:9">
      <c r="A1739" s="7" t="s">
        <v>2080</v>
      </c>
      <c r="B1739" s="7">
        <v>90036</v>
      </c>
      <c r="C1739" s="7" t="str">
        <f>"078548000"</f>
        <v>078548000</v>
      </c>
      <c r="D1739" s="7" t="s">
        <v>2081</v>
      </c>
      <c r="E1739" s="7">
        <v>90037</v>
      </c>
      <c r="F1739" s="7" t="str">
        <f>"078548101"</f>
        <v>078548101</v>
      </c>
      <c r="H1739" s="7">
        <v>227</v>
      </c>
      <c r="I1739" s="11">
        <v>0.72</v>
      </c>
    </row>
    <row r="1740" spans="1:9" ht="28.5">
      <c r="A1740" s="7" t="s">
        <v>2082</v>
      </c>
      <c r="B1740" s="7">
        <v>91937</v>
      </c>
      <c r="C1740" s="7" t="str">
        <f>"078221000"</f>
        <v>078221000</v>
      </c>
      <c r="D1740" s="7" t="s">
        <v>2083</v>
      </c>
      <c r="E1740" s="7">
        <v>92619</v>
      </c>
      <c r="F1740" s="7" t="str">
        <f>"078221001"</f>
        <v>078221001</v>
      </c>
      <c r="G1740" s="7" t="s">
        <v>26</v>
      </c>
      <c r="H1740" s="7">
        <v>533</v>
      </c>
      <c r="I1740" s="11">
        <v>0.88</v>
      </c>
    </row>
    <row r="1741" spans="1:9" ht="28.5">
      <c r="A1741" s="7" t="s">
        <v>2084</v>
      </c>
      <c r="B1741" s="7">
        <v>4394</v>
      </c>
      <c r="C1741" s="7" t="str">
        <f>"090220000"</f>
        <v>090220000</v>
      </c>
      <c r="D1741" s="7" t="s">
        <v>2085</v>
      </c>
      <c r="E1741" s="7">
        <v>5637</v>
      </c>
      <c r="F1741" s="7" t="str">
        <f>"090220204"</f>
        <v>090220204</v>
      </c>
      <c r="G1741" s="7" t="s">
        <v>16</v>
      </c>
      <c r="H1741" s="7">
        <v>809</v>
      </c>
      <c r="I1741" s="11">
        <v>0.88</v>
      </c>
    </row>
    <row r="1742" spans="1:9" ht="28.5">
      <c r="A1742" s="7" t="s">
        <v>2084</v>
      </c>
      <c r="B1742" s="7">
        <v>4394</v>
      </c>
      <c r="C1742" s="7" t="str">
        <f>"090220000"</f>
        <v>090220000</v>
      </c>
      <c r="D1742" s="7" t="s">
        <v>2086</v>
      </c>
      <c r="E1742" s="7">
        <v>5635</v>
      </c>
      <c r="F1742" s="7" t="str">
        <f>"090220103"</f>
        <v>090220103</v>
      </c>
      <c r="G1742" s="7" t="s">
        <v>16</v>
      </c>
      <c r="H1742" s="7">
        <v>421</v>
      </c>
      <c r="I1742" s="11" t="s">
        <v>17</v>
      </c>
    </row>
    <row r="1743" spans="1:9" ht="28.5">
      <c r="A1743" s="7" t="s">
        <v>2084</v>
      </c>
      <c r="B1743" s="7">
        <v>4394</v>
      </c>
      <c r="C1743" s="7" t="str">
        <f>"090220000"</f>
        <v>090220000</v>
      </c>
      <c r="D1743" s="7" t="s">
        <v>2087</v>
      </c>
      <c r="E1743" s="7">
        <v>5636</v>
      </c>
      <c r="F1743" s="7" t="str">
        <f>"090220106"</f>
        <v>090220106</v>
      </c>
      <c r="G1743" s="7" t="s">
        <v>16</v>
      </c>
      <c r="H1743" s="7">
        <v>271</v>
      </c>
      <c r="I1743" s="11" t="s">
        <v>17</v>
      </c>
    </row>
    <row r="1744" spans="1:9" ht="28.5">
      <c r="A1744" s="7" t="s">
        <v>2084</v>
      </c>
      <c r="B1744" s="7">
        <v>4394</v>
      </c>
      <c r="C1744" s="7" t="str">
        <f>"090220000"</f>
        <v>090220000</v>
      </c>
      <c r="D1744" s="7" t="s">
        <v>2088</v>
      </c>
      <c r="E1744" s="7">
        <v>79698</v>
      </c>
      <c r="F1744" s="7" t="str">
        <f>"090220107"</f>
        <v>090220107</v>
      </c>
      <c r="G1744" s="7" t="s">
        <v>16</v>
      </c>
      <c r="H1744" s="7">
        <v>445</v>
      </c>
      <c r="I1744" s="11" t="s">
        <v>17</v>
      </c>
    </row>
    <row r="1745" spans="1:9" ht="28.5">
      <c r="A1745" s="7" t="s">
        <v>2084</v>
      </c>
      <c r="B1745" s="7">
        <v>4394</v>
      </c>
      <c r="C1745" s="7" t="str">
        <f>"090220000"</f>
        <v>090220000</v>
      </c>
      <c r="D1745" s="7" t="s">
        <v>2089</v>
      </c>
      <c r="E1745" s="7">
        <v>5633</v>
      </c>
      <c r="F1745" s="7" t="str">
        <f>"090220101"</f>
        <v>090220101</v>
      </c>
      <c r="G1745" s="7" t="s">
        <v>16</v>
      </c>
      <c r="H1745" s="7">
        <v>400</v>
      </c>
      <c r="I1745" s="11" t="s">
        <v>17</v>
      </c>
    </row>
    <row r="1746" spans="1:9" ht="28.5">
      <c r="A1746" s="7" t="s">
        <v>2090</v>
      </c>
      <c r="B1746" s="7">
        <v>4236</v>
      </c>
      <c r="C1746" s="7" t="str">
        <f>"070209000"</f>
        <v>070209000</v>
      </c>
      <c r="D1746" s="7" t="s">
        <v>2091</v>
      </c>
      <c r="E1746" s="7">
        <v>89676</v>
      </c>
      <c r="F1746" s="7" t="str">
        <f>"070209104"</f>
        <v>070209104</v>
      </c>
      <c r="H1746" s="7">
        <v>315</v>
      </c>
      <c r="I1746" s="11">
        <v>0.45</v>
      </c>
    </row>
    <row r="1747" spans="1:9">
      <c r="A1747" s="7" t="s">
        <v>2090</v>
      </c>
      <c r="B1747" s="7">
        <v>4236</v>
      </c>
      <c r="C1747" s="7" t="str">
        <f>"070209000"</f>
        <v>070209000</v>
      </c>
      <c r="D1747" s="7" t="s">
        <v>2092</v>
      </c>
      <c r="E1747" s="7">
        <v>6001</v>
      </c>
      <c r="F1747" s="7" t="str">
        <f>"070209102"</f>
        <v>070209102</v>
      </c>
      <c r="H1747" s="7">
        <v>298</v>
      </c>
      <c r="I1747" s="11">
        <v>0.69</v>
      </c>
    </row>
    <row r="1748" spans="1:9">
      <c r="A1748" s="7" t="s">
        <v>2090</v>
      </c>
      <c r="B1748" s="7">
        <v>4236</v>
      </c>
      <c r="C1748" s="7" t="str">
        <f>"070209000"</f>
        <v>070209000</v>
      </c>
      <c r="D1748" s="7" t="s">
        <v>2093</v>
      </c>
      <c r="E1748" s="7">
        <v>4986</v>
      </c>
      <c r="F1748" s="7" t="str">
        <f>"070209103"</f>
        <v>070209103</v>
      </c>
      <c r="H1748" s="7">
        <v>134</v>
      </c>
      <c r="I1748" s="11">
        <v>0.62</v>
      </c>
    </row>
    <row r="1749" spans="1:9">
      <c r="A1749" s="7" t="s">
        <v>2090</v>
      </c>
      <c r="B1749" s="7">
        <v>4236</v>
      </c>
      <c r="C1749" s="7" t="str">
        <f>"070209000"</f>
        <v>070209000</v>
      </c>
      <c r="D1749" s="7" t="s">
        <v>2094</v>
      </c>
      <c r="E1749" s="7">
        <v>4987</v>
      </c>
      <c r="F1749" s="7" t="str">
        <f>"070209201"</f>
        <v>070209201</v>
      </c>
      <c r="H1749" s="7">
        <v>518</v>
      </c>
      <c r="I1749" s="11">
        <v>0.5</v>
      </c>
    </row>
    <row r="1750" spans="1:9" ht="28.5">
      <c r="A1750" s="7" t="s">
        <v>2095</v>
      </c>
      <c r="B1750" s="7">
        <v>80222</v>
      </c>
      <c r="C1750" s="7" t="str">
        <f>"014010000"</f>
        <v>014010000</v>
      </c>
      <c r="D1750" s="7" t="s">
        <v>2095</v>
      </c>
      <c r="E1750" s="7">
        <v>80223</v>
      </c>
      <c r="F1750" s="7" t="str">
        <f>"014012003"</f>
        <v>014012003</v>
      </c>
      <c r="G1750" s="7" t="s">
        <v>16</v>
      </c>
      <c r="H1750" s="7">
        <v>85</v>
      </c>
      <c r="I1750" s="11" t="s">
        <v>17</v>
      </c>
    </row>
    <row r="1751" spans="1:9" ht="28.5">
      <c r="A1751" s="7" t="s">
        <v>2096</v>
      </c>
      <c r="B1751" s="7">
        <v>4170</v>
      </c>
      <c r="C1751" s="7" t="str">
        <f>"020213000"</f>
        <v>020213000</v>
      </c>
      <c r="D1751" s="7" t="s">
        <v>2097</v>
      </c>
      <c r="E1751" s="7">
        <v>4755</v>
      </c>
      <c r="F1751" s="7" t="str">
        <f>"020213101"</f>
        <v>020213101</v>
      </c>
      <c r="G1751" s="7" t="s">
        <v>16</v>
      </c>
      <c r="H1751" s="7">
        <v>387</v>
      </c>
      <c r="I1751" s="11">
        <v>0.69</v>
      </c>
    </row>
    <row r="1752" spans="1:9">
      <c r="A1752" s="7" t="s">
        <v>2096</v>
      </c>
      <c r="B1752" s="7">
        <v>4170</v>
      </c>
      <c r="C1752" s="7" t="str">
        <f>"020213000"</f>
        <v>020213000</v>
      </c>
      <c r="D1752" s="7" t="s">
        <v>2098</v>
      </c>
      <c r="E1752" s="7">
        <v>4757</v>
      </c>
      <c r="F1752" s="7" t="str">
        <f>"020213201"</f>
        <v>020213201</v>
      </c>
      <c r="H1752" s="7">
        <v>412</v>
      </c>
      <c r="I1752" s="11">
        <v>0.53</v>
      </c>
    </row>
    <row r="1753" spans="1:9" ht="28.5">
      <c r="A1753" s="7" t="s">
        <v>2096</v>
      </c>
      <c r="B1753" s="7">
        <v>4170</v>
      </c>
      <c r="C1753" s="7" t="str">
        <f>"020213000"</f>
        <v>020213000</v>
      </c>
      <c r="D1753" s="7" t="s">
        <v>2099</v>
      </c>
      <c r="E1753" s="7">
        <v>4756</v>
      </c>
      <c r="F1753" s="7" t="str">
        <f>"020213102"</f>
        <v>020213102</v>
      </c>
      <c r="G1753" s="7" t="s">
        <v>16</v>
      </c>
      <c r="H1753" s="7">
        <v>299</v>
      </c>
      <c r="I1753" s="11">
        <v>0.66</v>
      </c>
    </row>
    <row r="1754" spans="1:9">
      <c r="A1754" s="7" t="s">
        <v>2100</v>
      </c>
      <c r="B1754" s="7">
        <v>4193</v>
      </c>
      <c r="C1754" s="7" t="str">
        <f>"030202000"</f>
        <v>030202000</v>
      </c>
      <c r="D1754" s="7" t="s">
        <v>2101</v>
      </c>
      <c r="E1754" s="7">
        <v>4822</v>
      </c>
      <c r="F1754" s="7" t="str">
        <f>"030202102"</f>
        <v>030202102</v>
      </c>
      <c r="H1754" s="7">
        <v>419</v>
      </c>
      <c r="I1754" s="11">
        <v>0.66</v>
      </c>
    </row>
    <row r="1755" spans="1:9">
      <c r="A1755" s="7" t="s">
        <v>2100</v>
      </c>
      <c r="B1755" s="7">
        <v>4193</v>
      </c>
      <c r="C1755" s="7" t="str">
        <f>"030202000"</f>
        <v>030202000</v>
      </c>
      <c r="D1755" s="7" t="s">
        <v>2102</v>
      </c>
      <c r="E1755" s="7">
        <v>4823</v>
      </c>
      <c r="F1755" s="7" t="str">
        <f>"030202201"</f>
        <v>030202201</v>
      </c>
      <c r="H1755" s="7">
        <v>251</v>
      </c>
      <c r="I1755" s="11">
        <v>0.56999999999999995</v>
      </c>
    </row>
    <row r="1756" spans="1:9">
      <c r="A1756" s="7" t="s">
        <v>2103</v>
      </c>
      <c r="B1756" s="7">
        <v>4261</v>
      </c>
      <c r="C1756" s="7" t="str">
        <f>"070407000"</f>
        <v>070407000</v>
      </c>
      <c r="D1756" s="7" t="s">
        <v>1237</v>
      </c>
      <c r="E1756" s="7">
        <v>5276</v>
      </c>
      <c r="F1756" s="7" t="str">
        <f>"070407101"</f>
        <v>070407101</v>
      </c>
      <c r="G1756" s="7" t="s">
        <v>26</v>
      </c>
      <c r="H1756" s="7">
        <v>522</v>
      </c>
      <c r="I1756" s="11">
        <v>0.79</v>
      </c>
    </row>
    <row r="1757" spans="1:9">
      <c r="A1757" s="7" t="s">
        <v>2103</v>
      </c>
      <c r="B1757" s="7">
        <v>4261</v>
      </c>
      <c r="C1757" s="7" t="str">
        <f>"070407000"</f>
        <v>070407000</v>
      </c>
      <c r="D1757" s="7" t="s">
        <v>2104</v>
      </c>
      <c r="E1757" s="7">
        <v>5277</v>
      </c>
      <c r="F1757" s="7" t="str">
        <f>"070407102"</f>
        <v>070407102</v>
      </c>
      <c r="G1757" s="7" t="s">
        <v>26</v>
      </c>
      <c r="H1757" s="7">
        <v>510</v>
      </c>
      <c r="I1757" s="11">
        <v>0.87</v>
      </c>
    </row>
    <row r="1758" spans="1:9" ht="28.5">
      <c r="A1758" s="7" t="s">
        <v>2105</v>
      </c>
      <c r="B1758" s="7">
        <v>4154</v>
      </c>
      <c r="C1758" s="7" t="str">
        <f>"010208000"</f>
        <v>010208000</v>
      </c>
      <c r="D1758" s="7" t="s">
        <v>2106</v>
      </c>
      <c r="E1758" s="7">
        <v>85882</v>
      </c>
      <c r="F1758" s="7" t="str">
        <f>"010208116"</f>
        <v>010208116</v>
      </c>
      <c r="G1758" s="7" t="s">
        <v>16</v>
      </c>
      <c r="H1758" s="7">
        <v>160</v>
      </c>
      <c r="I1758" s="11">
        <v>0.86</v>
      </c>
    </row>
    <row r="1759" spans="1:9" ht="28.5">
      <c r="A1759" s="7" t="s">
        <v>2105</v>
      </c>
      <c r="B1759" s="7">
        <v>4154</v>
      </c>
      <c r="C1759" s="7" t="str">
        <f>"010208000"</f>
        <v>010208000</v>
      </c>
      <c r="D1759" s="7" t="s">
        <v>2107</v>
      </c>
      <c r="E1759" s="7">
        <v>4714</v>
      </c>
      <c r="F1759" s="7" t="str">
        <f>"010208110"</f>
        <v>010208110</v>
      </c>
      <c r="G1759" s="7" t="s">
        <v>16</v>
      </c>
      <c r="H1759" s="7">
        <v>322</v>
      </c>
      <c r="I1759" s="11" t="s">
        <v>17</v>
      </c>
    </row>
    <row r="1760" spans="1:9" ht="28.5">
      <c r="A1760" s="7" t="s">
        <v>2105</v>
      </c>
      <c r="B1760" s="7">
        <v>4154</v>
      </c>
      <c r="C1760" s="7" t="str">
        <f>"010208000"</f>
        <v>010208000</v>
      </c>
      <c r="D1760" s="7" t="s">
        <v>2108</v>
      </c>
      <c r="E1760" s="7">
        <v>4716</v>
      </c>
      <c r="F1760" s="7" t="str">
        <f>"010208115"</f>
        <v>010208115</v>
      </c>
      <c r="G1760" s="7" t="s">
        <v>16</v>
      </c>
      <c r="H1760" s="7">
        <v>275</v>
      </c>
      <c r="I1760" s="11">
        <v>0.92</v>
      </c>
    </row>
    <row r="1761" spans="1:9" ht="28.5">
      <c r="A1761" s="7" t="s">
        <v>2105</v>
      </c>
      <c r="B1761" s="7">
        <v>4154</v>
      </c>
      <c r="C1761" s="7" t="str">
        <f>"010208000"</f>
        <v>010208000</v>
      </c>
      <c r="D1761" s="7" t="s">
        <v>2109</v>
      </c>
      <c r="E1761" s="7">
        <v>4715</v>
      </c>
      <c r="F1761" s="7" t="str">
        <f>"010208112"</f>
        <v>010208112</v>
      </c>
      <c r="G1761" s="7" t="s">
        <v>16</v>
      </c>
      <c r="H1761" s="7">
        <v>484</v>
      </c>
      <c r="I1761" s="11" t="s">
        <v>17</v>
      </c>
    </row>
    <row r="1762" spans="1:9" ht="28.5">
      <c r="A1762" s="7" t="s">
        <v>2105</v>
      </c>
      <c r="B1762" s="7">
        <v>4154</v>
      </c>
      <c r="C1762" s="7" t="str">
        <f>"010208000"</f>
        <v>010208000</v>
      </c>
      <c r="D1762" s="7" t="s">
        <v>2110</v>
      </c>
      <c r="E1762" s="7">
        <v>4717</v>
      </c>
      <c r="F1762" s="7" t="str">
        <f>"010208201"</f>
        <v>010208201</v>
      </c>
      <c r="G1762" s="7" t="s">
        <v>16</v>
      </c>
      <c r="H1762" s="7">
        <v>569</v>
      </c>
      <c r="I1762" s="11">
        <v>0.82</v>
      </c>
    </row>
    <row r="1763" spans="1:9">
      <c r="A1763" s="7" t="s">
        <v>2111</v>
      </c>
      <c r="B1763" s="7">
        <v>80224</v>
      </c>
      <c r="C1763" s="7" t="str">
        <f>"092701000"</f>
        <v>092701000</v>
      </c>
      <c r="D1763" s="7" t="s">
        <v>2112</v>
      </c>
      <c r="E1763" s="7">
        <v>80225</v>
      </c>
      <c r="F1763" s="7" t="str">
        <f>"092701001"</f>
        <v>092701001</v>
      </c>
      <c r="H1763" s="7">
        <v>101</v>
      </c>
      <c r="I1763" s="11">
        <v>0.89</v>
      </c>
    </row>
    <row r="1764" spans="1:9" ht="28.5">
      <c r="A1764" s="7" t="s">
        <v>2113</v>
      </c>
      <c r="B1764" s="7">
        <v>4387</v>
      </c>
      <c r="C1764" s="7" t="str">
        <f>"090201000"</f>
        <v>090201000</v>
      </c>
      <c r="D1764" s="7" t="s">
        <v>2114</v>
      </c>
      <c r="E1764" s="7">
        <v>5600</v>
      </c>
      <c r="F1764" s="7" t="str">
        <f>"090201102"</f>
        <v>090201102</v>
      </c>
      <c r="G1764" s="7" t="s">
        <v>16</v>
      </c>
      <c r="H1764" s="7">
        <v>261</v>
      </c>
      <c r="I1764" s="12">
        <v>0.7</v>
      </c>
    </row>
    <row r="1765" spans="1:9" ht="28.5">
      <c r="A1765" s="7" t="s">
        <v>2113</v>
      </c>
      <c r="B1765" s="7">
        <v>4387</v>
      </c>
      <c r="C1765" s="7" t="str">
        <f>"090201000"</f>
        <v>090201000</v>
      </c>
      <c r="D1765" s="7" t="s">
        <v>1191</v>
      </c>
      <c r="E1765" s="7">
        <v>5601</v>
      </c>
      <c r="F1765" s="7" t="str">
        <f>"090201103"</f>
        <v>090201103</v>
      </c>
      <c r="G1765" s="7" t="s">
        <v>16</v>
      </c>
      <c r="H1765" s="7">
        <v>388</v>
      </c>
      <c r="I1765" s="12">
        <v>0.8</v>
      </c>
    </row>
    <row r="1766" spans="1:9" ht="28.5">
      <c r="A1766" s="7" t="s">
        <v>2113</v>
      </c>
      <c r="B1766" s="7">
        <v>4387</v>
      </c>
      <c r="C1766" s="7" t="str">
        <f>"090201000"</f>
        <v>090201000</v>
      </c>
      <c r="D1766" s="7" t="s">
        <v>2115</v>
      </c>
      <c r="E1766" s="7">
        <v>5602</v>
      </c>
      <c r="F1766" s="7" t="str">
        <f>"090201104"</f>
        <v>090201104</v>
      </c>
      <c r="G1766" s="7" t="s">
        <v>16</v>
      </c>
      <c r="H1766" s="7">
        <v>258</v>
      </c>
      <c r="I1766" s="12">
        <v>0.69</v>
      </c>
    </row>
    <row r="1767" spans="1:9" ht="28.5">
      <c r="A1767" s="7" t="s">
        <v>2113</v>
      </c>
      <c r="B1767" s="7">
        <v>4387</v>
      </c>
      <c r="C1767" s="7" t="str">
        <f>"090201000"</f>
        <v>090201000</v>
      </c>
      <c r="D1767" s="7" t="s">
        <v>2116</v>
      </c>
      <c r="E1767" s="7">
        <v>5604</v>
      </c>
      <c r="F1767" s="7" t="str">
        <f>"090201206"</f>
        <v>090201206</v>
      </c>
      <c r="G1767" s="7" t="s">
        <v>16</v>
      </c>
      <c r="H1767" s="7">
        <v>682</v>
      </c>
      <c r="I1767" s="12">
        <v>0.63</v>
      </c>
    </row>
    <row r="1768" spans="1:9" ht="28.5">
      <c r="A1768" s="7" t="s">
        <v>2113</v>
      </c>
      <c r="B1768" s="7">
        <v>4387</v>
      </c>
      <c r="C1768" s="7" t="str">
        <f>"090201000"</f>
        <v>090201000</v>
      </c>
      <c r="D1768" s="7" t="s">
        <v>2117</v>
      </c>
      <c r="E1768" s="7">
        <v>5603</v>
      </c>
      <c r="F1768" s="7" t="str">
        <f>"090201105"</f>
        <v>090201105</v>
      </c>
      <c r="G1768" s="7" t="s">
        <v>16</v>
      </c>
      <c r="H1768" s="7">
        <v>318</v>
      </c>
      <c r="I1768" s="12">
        <v>0.72</v>
      </c>
    </row>
    <row r="1769" spans="1:9" ht="28.5">
      <c r="A1769" s="7" t="s">
        <v>2118</v>
      </c>
      <c r="B1769" s="7">
        <v>4485</v>
      </c>
      <c r="C1769" s="7" t="str">
        <f>"130352000"</f>
        <v>130352000</v>
      </c>
      <c r="D1769" s="7" t="s">
        <v>2119</v>
      </c>
      <c r="E1769" s="7">
        <v>6121</v>
      </c>
      <c r="F1769" s="7" t="str">
        <f>"130352101"</f>
        <v>130352101</v>
      </c>
      <c r="G1769" s="7" t="s">
        <v>16</v>
      </c>
      <c r="H1769" s="7">
        <v>41</v>
      </c>
      <c r="I1769" s="11">
        <v>0.84</v>
      </c>
    </row>
    <row r="1770" spans="1:9">
      <c r="A1770" s="7" t="s">
        <v>2120</v>
      </c>
      <c r="B1770" s="7">
        <v>79533</v>
      </c>
      <c r="C1770" s="7" t="str">
        <f>"211024000"</f>
        <v>211024000</v>
      </c>
      <c r="D1770" s="7" t="s">
        <v>2121</v>
      </c>
      <c r="E1770" s="7">
        <v>79551</v>
      </c>
      <c r="F1770" s="7" t="str">
        <f>"211024001"</f>
        <v>211024001</v>
      </c>
      <c r="H1770" s="7">
        <v>40</v>
      </c>
      <c r="I1770" s="11" t="s">
        <v>17</v>
      </c>
    </row>
    <row r="1771" spans="1:9">
      <c r="A1771" s="7" t="s">
        <v>2122</v>
      </c>
      <c r="B1771" s="7">
        <v>7351</v>
      </c>
      <c r="C1771" s="7" t="str">
        <f>"072155000"</f>
        <v>072155000</v>
      </c>
      <c r="D1771" s="7" t="s">
        <v>2122</v>
      </c>
      <c r="E1771" s="7">
        <v>7352</v>
      </c>
      <c r="F1771" s="7" t="str">
        <f>"072155001"</f>
        <v>072155001</v>
      </c>
      <c r="H1771" s="7">
        <v>64</v>
      </c>
      <c r="I1771" s="11" t="s">
        <v>17</v>
      </c>
    </row>
    <row r="1772" spans="1:9" ht="28.5">
      <c r="A1772" s="7" t="s">
        <v>2123</v>
      </c>
      <c r="B1772" s="7">
        <v>4377</v>
      </c>
      <c r="C1772" s="7" t="str">
        <f>"080313000"</f>
        <v>080313000</v>
      </c>
      <c r="D1772" s="7" t="s">
        <v>2124</v>
      </c>
      <c r="E1772" s="7">
        <v>5582</v>
      </c>
      <c r="F1772" s="7" t="str">
        <f>"080313101"</f>
        <v>080313101</v>
      </c>
      <c r="G1772" s="7" t="s">
        <v>16</v>
      </c>
      <c r="H1772" s="7">
        <v>25</v>
      </c>
      <c r="I1772" s="11">
        <v>0.86</v>
      </c>
    </row>
    <row r="1773" spans="1:9" ht="28.5">
      <c r="A1773" s="7" t="s">
        <v>2125</v>
      </c>
      <c r="B1773" s="7">
        <v>79524</v>
      </c>
      <c r="C1773" s="7" t="str">
        <f>"211025000"</f>
        <v>211025000</v>
      </c>
      <c r="D1773" s="7" t="s">
        <v>2126</v>
      </c>
      <c r="E1773" s="7">
        <v>79854</v>
      </c>
      <c r="F1773" s="7" t="str">
        <f>"211025002"</f>
        <v>211025002</v>
      </c>
      <c r="H1773" s="7">
        <v>15</v>
      </c>
      <c r="I1773" s="11" t="s">
        <v>17</v>
      </c>
    </row>
    <row r="1774" spans="1:9">
      <c r="A1774" s="7" t="s">
        <v>2127</v>
      </c>
      <c r="B1774" s="7">
        <v>4499</v>
      </c>
      <c r="C1774" s="7" t="str">
        <f t="shared" ref="C1774:C1790" si="76">"140401000"</f>
        <v>140401000</v>
      </c>
      <c r="D1774" s="7" t="s">
        <v>2128</v>
      </c>
      <c r="E1774" s="7">
        <v>6147</v>
      </c>
      <c r="F1774" s="7" t="str">
        <f>"140401101"</f>
        <v>140401101</v>
      </c>
      <c r="H1774" s="7">
        <v>325</v>
      </c>
      <c r="I1774" s="11">
        <v>0.73</v>
      </c>
    </row>
    <row r="1775" spans="1:9">
      <c r="A1775" s="7" t="s">
        <v>2127</v>
      </c>
      <c r="B1775" s="7">
        <v>4499</v>
      </c>
      <c r="C1775" s="7" t="str">
        <f t="shared" si="76"/>
        <v>140401000</v>
      </c>
      <c r="D1775" s="7" t="s">
        <v>2129</v>
      </c>
      <c r="E1775" s="7">
        <v>6149</v>
      </c>
      <c r="F1775" s="7" t="str">
        <f>"140401103"</f>
        <v>140401103</v>
      </c>
      <c r="G1775" s="7" t="s">
        <v>26</v>
      </c>
      <c r="H1775" s="7">
        <v>536</v>
      </c>
      <c r="I1775" s="11">
        <v>0.87</v>
      </c>
    </row>
    <row r="1776" spans="1:9">
      <c r="A1776" s="7" t="s">
        <v>2127</v>
      </c>
      <c r="B1776" s="7">
        <v>4499</v>
      </c>
      <c r="C1776" s="7" t="str">
        <f t="shared" si="76"/>
        <v>140401000</v>
      </c>
      <c r="D1776" s="7" t="s">
        <v>2130</v>
      </c>
      <c r="E1776" s="7">
        <v>6163</v>
      </c>
      <c r="F1776" s="7" t="str">
        <f>"140401124"</f>
        <v>140401124</v>
      </c>
      <c r="H1776" s="7">
        <v>921</v>
      </c>
      <c r="I1776" s="11">
        <v>0.56000000000000005</v>
      </c>
    </row>
    <row r="1777" spans="1:9">
      <c r="A1777" s="7" t="s">
        <v>2127</v>
      </c>
      <c r="B1777" s="7">
        <v>4499</v>
      </c>
      <c r="C1777" s="7" t="str">
        <f t="shared" si="76"/>
        <v>140401000</v>
      </c>
      <c r="D1777" s="7" t="s">
        <v>2131</v>
      </c>
      <c r="E1777" s="7">
        <v>6159</v>
      </c>
      <c r="F1777" s="7" t="str">
        <f>"140401113"</f>
        <v>140401113</v>
      </c>
      <c r="H1777" s="7">
        <v>813</v>
      </c>
      <c r="I1777" s="11">
        <v>0.66</v>
      </c>
    </row>
    <row r="1778" spans="1:9">
      <c r="A1778" s="7" t="s">
        <v>2127</v>
      </c>
      <c r="B1778" s="7">
        <v>4499</v>
      </c>
      <c r="C1778" s="7" t="str">
        <f t="shared" si="76"/>
        <v>140401000</v>
      </c>
      <c r="D1778" s="7" t="s">
        <v>2132</v>
      </c>
      <c r="E1778" s="7">
        <v>1000268</v>
      </c>
      <c r="F1778" s="7" t="str">
        <f>"140401115"</f>
        <v>140401115</v>
      </c>
      <c r="H1778" s="7">
        <v>559</v>
      </c>
      <c r="I1778" s="11">
        <v>0.5</v>
      </c>
    </row>
    <row r="1779" spans="1:9">
      <c r="A1779" s="7" t="s">
        <v>2127</v>
      </c>
      <c r="B1779" s="7">
        <v>4499</v>
      </c>
      <c r="C1779" s="7" t="str">
        <f t="shared" si="76"/>
        <v>140401000</v>
      </c>
      <c r="D1779" s="7" t="s">
        <v>2133</v>
      </c>
      <c r="E1779" s="7">
        <v>6160</v>
      </c>
      <c r="F1779" s="7" t="str">
        <f>"140401121"</f>
        <v>140401121</v>
      </c>
      <c r="G1779" s="7" t="s">
        <v>26</v>
      </c>
      <c r="H1779" s="7">
        <v>356</v>
      </c>
      <c r="I1779" s="11">
        <v>0.86</v>
      </c>
    </row>
    <row r="1780" spans="1:9" ht="28.5">
      <c r="A1780" s="7" t="s">
        <v>2127</v>
      </c>
      <c r="B1780" s="7">
        <v>4499</v>
      </c>
      <c r="C1780" s="7" t="str">
        <f t="shared" si="76"/>
        <v>140401000</v>
      </c>
      <c r="D1780" s="7" t="s">
        <v>2134</v>
      </c>
      <c r="E1780" s="7">
        <v>6148</v>
      </c>
      <c r="F1780" s="7" t="str">
        <f>"140401102"</f>
        <v>140401102</v>
      </c>
      <c r="G1780" s="7" t="s">
        <v>26</v>
      </c>
      <c r="H1780" s="7">
        <v>304</v>
      </c>
      <c r="I1780" s="11">
        <v>0.96</v>
      </c>
    </row>
    <row r="1781" spans="1:9" ht="14.25" customHeight="1">
      <c r="A1781" s="7" t="s">
        <v>2127</v>
      </c>
      <c r="B1781" s="7">
        <v>4499</v>
      </c>
      <c r="C1781" s="7" t="str">
        <f t="shared" si="76"/>
        <v>140401000</v>
      </c>
      <c r="D1781" s="7" t="s">
        <v>2135</v>
      </c>
      <c r="E1781" s="7">
        <v>6161</v>
      </c>
      <c r="F1781" s="7" t="str">
        <f>"140401122"</f>
        <v>140401122</v>
      </c>
      <c r="G1781" s="7" t="s">
        <v>26</v>
      </c>
      <c r="H1781" s="7">
        <v>513</v>
      </c>
      <c r="I1781" s="11">
        <v>0.77</v>
      </c>
    </row>
    <row r="1782" spans="1:9">
      <c r="A1782" s="7" t="s">
        <v>2127</v>
      </c>
      <c r="B1782" s="7">
        <v>4499</v>
      </c>
      <c r="C1782" s="7" t="str">
        <f t="shared" si="76"/>
        <v>140401000</v>
      </c>
      <c r="D1782" s="7" t="s">
        <v>2136</v>
      </c>
      <c r="E1782" s="7">
        <v>6156</v>
      </c>
      <c r="F1782" s="7" t="str">
        <f>"140401110"</f>
        <v>140401110</v>
      </c>
      <c r="H1782" s="7">
        <v>528</v>
      </c>
      <c r="I1782" s="11">
        <v>0.69</v>
      </c>
    </row>
    <row r="1783" spans="1:9">
      <c r="A1783" s="7" t="s">
        <v>2127</v>
      </c>
      <c r="B1783" s="7">
        <v>4499</v>
      </c>
      <c r="C1783" s="7" t="str">
        <f t="shared" si="76"/>
        <v>140401000</v>
      </c>
      <c r="D1783" s="7" t="s">
        <v>2137</v>
      </c>
      <c r="E1783" s="7">
        <v>6158</v>
      </c>
      <c r="F1783" s="7" t="str">
        <f>"140401112"</f>
        <v>140401112</v>
      </c>
      <c r="H1783" s="7">
        <v>848</v>
      </c>
      <c r="I1783" s="11">
        <v>0.69</v>
      </c>
    </row>
    <row r="1784" spans="1:9">
      <c r="A1784" s="7" t="s">
        <v>2127</v>
      </c>
      <c r="B1784" s="7">
        <v>4499</v>
      </c>
      <c r="C1784" s="7" t="str">
        <f t="shared" si="76"/>
        <v>140401000</v>
      </c>
      <c r="D1784" s="7" t="s">
        <v>2138</v>
      </c>
      <c r="E1784" s="7">
        <v>6152</v>
      </c>
      <c r="F1784" s="7" t="str">
        <f>"140401106"</f>
        <v>140401106</v>
      </c>
      <c r="G1784" s="7" t="s">
        <v>26</v>
      </c>
      <c r="H1784" s="7">
        <v>369</v>
      </c>
      <c r="I1784" s="11">
        <v>0.83</v>
      </c>
    </row>
    <row r="1785" spans="1:9">
      <c r="A1785" s="7" t="s">
        <v>2127</v>
      </c>
      <c r="B1785" s="7">
        <v>4499</v>
      </c>
      <c r="C1785" s="7" t="str">
        <f t="shared" si="76"/>
        <v>140401000</v>
      </c>
      <c r="D1785" s="7" t="s">
        <v>2139</v>
      </c>
      <c r="E1785" s="7">
        <v>6153</v>
      </c>
      <c r="F1785" s="7" t="str">
        <f>"140401107"</f>
        <v>140401107</v>
      </c>
      <c r="G1785" s="7" t="s">
        <v>26</v>
      </c>
      <c r="H1785" s="7">
        <v>434</v>
      </c>
      <c r="I1785" s="11">
        <v>0.72</v>
      </c>
    </row>
    <row r="1786" spans="1:9">
      <c r="A1786" s="7" t="s">
        <v>2127</v>
      </c>
      <c r="B1786" s="7">
        <v>4499</v>
      </c>
      <c r="C1786" s="7" t="str">
        <f t="shared" si="76"/>
        <v>140401000</v>
      </c>
      <c r="D1786" s="7" t="s">
        <v>2140</v>
      </c>
      <c r="E1786" s="7">
        <v>6154</v>
      </c>
      <c r="F1786" s="7" t="str">
        <f>"140401108"</f>
        <v>140401108</v>
      </c>
      <c r="G1786" s="7" t="s">
        <v>26</v>
      </c>
      <c r="H1786" s="7">
        <v>328</v>
      </c>
      <c r="I1786" s="11" t="s">
        <v>17</v>
      </c>
    </row>
    <row r="1787" spans="1:9">
      <c r="A1787" s="7" t="s">
        <v>2127</v>
      </c>
      <c r="B1787" s="7">
        <v>4499</v>
      </c>
      <c r="C1787" s="7" t="str">
        <f t="shared" si="76"/>
        <v>140401000</v>
      </c>
      <c r="D1787" s="7" t="s">
        <v>2141</v>
      </c>
      <c r="E1787" s="7">
        <v>6162</v>
      </c>
      <c r="F1787" s="7" t="str">
        <f>"140401123"</f>
        <v>140401123</v>
      </c>
      <c r="G1787" s="7" t="s">
        <v>26</v>
      </c>
      <c r="H1787" s="7">
        <v>587</v>
      </c>
      <c r="I1787" s="11">
        <v>0.64</v>
      </c>
    </row>
    <row r="1788" spans="1:9">
      <c r="A1788" s="7" t="s">
        <v>2127</v>
      </c>
      <c r="B1788" s="7">
        <v>4499</v>
      </c>
      <c r="C1788" s="7" t="str">
        <f t="shared" si="76"/>
        <v>140401000</v>
      </c>
      <c r="D1788" s="7" t="s">
        <v>2142</v>
      </c>
      <c r="E1788" s="7">
        <v>85840</v>
      </c>
      <c r="F1788" s="7" t="str">
        <f>"140401125"</f>
        <v>140401125</v>
      </c>
      <c r="H1788" s="7">
        <v>557</v>
      </c>
      <c r="I1788" s="11">
        <v>0.6</v>
      </c>
    </row>
    <row r="1789" spans="1:9">
      <c r="A1789" s="7" t="s">
        <v>2127</v>
      </c>
      <c r="B1789" s="7">
        <v>4499</v>
      </c>
      <c r="C1789" s="7" t="str">
        <f t="shared" si="76"/>
        <v>140401000</v>
      </c>
      <c r="D1789" s="7" t="s">
        <v>2143</v>
      </c>
      <c r="E1789" s="7">
        <v>6155</v>
      </c>
      <c r="F1789" s="7" t="str">
        <f>"140401109"</f>
        <v>140401109</v>
      </c>
      <c r="G1789" s="7" t="s">
        <v>26</v>
      </c>
      <c r="H1789" s="7">
        <v>264</v>
      </c>
      <c r="I1789" s="11">
        <v>0.9</v>
      </c>
    </row>
    <row r="1790" spans="1:9">
      <c r="A1790" s="7" t="s">
        <v>2127</v>
      </c>
      <c r="B1790" s="7">
        <v>4499</v>
      </c>
      <c r="C1790" s="7" t="str">
        <f t="shared" si="76"/>
        <v>140401000</v>
      </c>
      <c r="D1790" s="7" t="s">
        <v>520</v>
      </c>
      <c r="E1790" s="7">
        <v>87622</v>
      </c>
      <c r="F1790" s="7" t="str">
        <f>"140401114"</f>
        <v>140401114</v>
      </c>
      <c r="H1790" s="7">
        <v>667</v>
      </c>
      <c r="I1790" s="11">
        <v>0.67</v>
      </c>
    </row>
    <row r="1791" spans="1:9" ht="28.5">
      <c r="A1791" s="7" t="s">
        <v>2144</v>
      </c>
      <c r="B1791" s="7">
        <v>4509</v>
      </c>
      <c r="C1791" s="7" t="str">
        <f>"148758000"</f>
        <v>148758000</v>
      </c>
      <c r="D1791" s="7" t="s">
        <v>2145</v>
      </c>
      <c r="E1791" s="7">
        <v>6193</v>
      </c>
      <c r="F1791" s="7" t="str">
        <f>"148758201"</f>
        <v>148758201</v>
      </c>
      <c r="G1791" s="7" t="s">
        <v>16</v>
      </c>
      <c r="H1791" s="7">
        <v>116</v>
      </c>
      <c r="I1791" s="11">
        <v>0.9</v>
      </c>
    </row>
    <row r="1792" spans="1:9">
      <c r="A1792" s="7" t="s">
        <v>2146</v>
      </c>
      <c r="B1792" s="7">
        <v>4507</v>
      </c>
      <c r="C1792" s="7" t="str">
        <f t="shared" ref="C1792:C1798" si="77">"140570000"</f>
        <v>140570000</v>
      </c>
      <c r="D1792" s="7" t="s">
        <v>2147</v>
      </c>
      <c r="E1792" s="7">
        <v>6191</v>
      </c>
      <c r="F1792" s="7" t="str">
        <f>"140570203"</f>
        <v>140570203</v>
      </c>
      <c r="H1792" s="7">
        <v>2407</v>
      </c>
      <c r="I1792" s="11">
        <v>0.64</v>
      </c>
    </row>
    <row r="1793" spans="1:9">
      <c r="A1793" s="7" t="s">
        <v>2146</v>
      </c>
      <c r="B1793" s="7">
        <v>4507</v>
      </c>
      <c r="C1793" s="7" t="str">
        <f t="shared" si="77"/>
        <v>140570000</v>
      </c>
      <c r="D1793" s="7" t="s">
        <v>2148</v>
      </c>
      <c r="E1793" s="7">
        <v>89576</v>
      </c>
      <c r="F1793" s="7" t="str">
        <f>"140570207"</f>
        <v>140570207</v>
      </c>
      <c r="H1793" s="7">
        <v>2329</v>
      </c>
      <c r="I1793" s="11">
        <v>0.6</v>
      </c>
    </row>
    <row r="1794" spans="1:9">
      <c r="A1794" s="7" t="s">
        <v>2146</v>
      </c>
      <c r="B1794" s="7">
        <v>4507</v>
      </c>
      <c r="C1794" s="7" t="str">
        <f t="shared" si="77"/>
        <v>140570000</v>
      </c>
      <c r="D1794" s="7" t="s">
        <v>2149</v>
      </c>
      <c r="E1794" s="7">
        <v>6190</v>
      </c>
      <c r="F1794" s="7" t="str">
        <f>"140570202"</f>
        <v>140570202</v>
      </c>
      <c r="H1794" s="7">
        <v>2306</v>
      </c>
      <c r="I1794" s="11">
        <v>0.76</v>
      </c>
    </row>
    <row r="1795" spans="1:9" ht="28.5">
      <c r="A1795" s="7" t="s">
        <v>2146</v>
      </c>
      <c r="B1795" s="7">
        <v>4507</v>
      </c>
      <c r="C1795" s="7" t="str">
        <f t="shared" si="77"/>
        <v>140570000</v>
      </c>
      <c r="D1795" s="7" t="s">
        <v>2150</v>
      </c>
      <c r="E1795" s="7">
        <v>80409</v>
      </c>
      <c r="F1795" s="7" t="str">
        <f>"140570205"</f>
        <v>140570205</v>
      </c>
      <c r="G1795" s="7" t="s">
        <v>16</v>
      </c>
      <c r="H1795" s="7">
        <v>2593</v>
      </c>
      <c r="I1795" s="11">
        <v>0.9</v>
      </c>
    </row>
    <row r="1796" spans="1:9">
      <c r="A1796" s="7" t="s">
        <v>2146</v>
      </c>
      <c r="B1796" s="7">
        <v>4507</v>
      </c>
      <c r="C1796" s="7" t="str">
        <f t="shared" si="77"/>
        <v>140570000</v>
      </c>
      <c r="D1796" s="7" t="s">
        <v>2151</v>
      </c>
      <c r="E1796" s="7">
        <v>1001930</v>
      </c>
      <c r="F1796" s="7" t="str">
        <f>"140570208"</f>
        <v>140570208</v>
      </c>
      <c r="H1796" s="7">
        <v>304</v>
      </c>
      <c r="I1796" s="11">
        <v>0.81</v>
      </c>
    </row>
    <row r="1797" spans="1:9" ht="28.5">
      <c r="A1797" s="7" t="s">
        <v>2146</v>
      </c>
      <c r="B1797" s="7">
        <v>4507</v>
      </c>
      <c r="C1797" s="7" t="str">
        <f t="shared" si="77"/>
        <v>140570000</v>
      </c>
      <c r="D1797" s="7" t="s">
        <v>2152</v>
      </c>
      <c r="E1797" s="7">
        <v>6302</v>
      </c>
      <c r="F1797" s="7" t="str">
        <f>"140570204"</f>
        <v>140570204</v>
      </c>
      <c r="G1797" s="7" t="s">
        <v>16</v>
      </c>
      <c r="H1797" s="7">
        <v>337</v>
      </c>
      <c r="I1797" s="11">
        <v>0.92</v>
      </c>
    </row>
    <row r="1798" spans="1:9" ht="28.5">
      <c r="A1798" s="7" t="s">
        <v>2146</v>
      </c>
      <c r="B1798" s="7">
        <v>4507</v>
      </c>
      <c r="C1798" s="7" t="str">
        <f t="shared" si="77"/>
        <v>140570000</v>
      </c>
      <c r="D1798" s="7" t="s">
        <v>2153</v>
      </c>
      <c r="E1798" s="7">
        <v>6189</v>
      </c>
      <c r="F1798" s="7" t="str">
        <f>"140570201"</f>
        <v>140570201</v>
      </c>
      <c r="G1798" s="7" t="s">
        <v>16</v>
      </c>
      <c r="H1798" s="7">
        <v>1098</v>
      </c>
      <c r="I1798" s="11">
        <v>0.93</v>
      </c>
    </row>
  </sheetData>
  <autoFilter ref="A2:N1798" xr:uid="{743084E4-976C-456F-BFF2-21508C35F0B2}"/>
  <mergeCells count="1">
    <mergeCell ref="B1:I1"/>
  </mergeCells>
  <pageMargins left="0.5" right="0.5" top="0.25" bottom="0.25" header="0.3" footer="0"/>
  <pageSetup paperSize="5" scale="7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281390-55ee-49cd-b064-a5487080168b" xsi:nil="true"/>
    <lcf76f155ced4ddcb4097134ff3c332f xmlns="da1038f5-95f2-43fe-9d7c-ce4d362ba2b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795102FA08ADF4C9D6C796CE3891AC3" ma:contentTypeVersion="18" ma:contentTypeDescription="Create a new document." ma:contentTypeScope="" ma:versionID="054bfcc9e0f66bb87144d23be7bd111b">
  <xsd:schema xmlns:xsd="http://www.w3.org/2001/XMLSchema" xmlns:xs="http://www.w3.org/2001/XMLSchema" xmlns:p="http://schemas.microsoft.com/office/2006/metadata/properties" xmlns:ns2="da1038f5-95f2-43fe-9d7c-ce4d362ba2bd" xmlns:ns3="e4281390-55ee-49cd-b064-a5487080168b" targetNamespace="http://schemas.microsoft.com/office/2006/metadata/properties" ma:root="true" ma:fieldsID="b5c4243f618708eb89c4941d2bbb30ad" ns2:_="" ns3:_="">
    <xsd:import namespace="da1038f5-95f2-43fe-9d7c-ce4d362ba2bd"/>
    <xsd:import namespace="e4281390-55ee-49cd-b064-a5487080168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038f5-95f2-43fe-9d7c-ce4d362ba2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81390-55ee-49cd-b064-a5487080168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39346d0-207c-4e83-83b7-e16a58e64814}" ma:internalName="TaxCatchAll" ma:showField="CatchAllData" ma:web="e4281390-55ee-49cd-b064-a5487080168b">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7006F0-531D-485E-8076-7F4748E470C5}"/>
</file>

<file path=customXml/itemProps2.xml><?xml version="1.0" encoding="utf-8"?>
<ds:datastoreItem xmlns:ds="http://schemas.openxmlformats.org/officeDocument/2006/customXml" ds:itemID="{B8D52AC9-FF10-4377-A775-025B467E8299}"/>
</file>

<file path=customXml/itemProps3.xml><?xml version="1.0" encoding="utf-8"?>
<ds:datastoreItem xmlns:ds="http://schemas.openxmlformats.org/officeDocument/2006/customXml" ds:itemID="{EA98D0E3-FD61-4930-AFF8-6164966A455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Eliason, Jessica</dc:creator>
  <cp:keywords/>
  <dc:description/>
  <cp:lastModifiedBy/>
  <cp:revision/>
  <dcterms:created xsi:type="dcterms:W3CDTF">2024-01-10T18:48:43Z</dcterms:created>
  <dcterms:modified xsi:type="dcterms:W3CDTF">2025-08-07T19:09:17Z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0x010100B795102FA08ADF4C9D6C796CE3891AC3</vt:lpwstr>
  </property>
  <property fmtid="{D5CDD505-2E9C-101B-9397-08002B2CF9AE}" pid="3" name="MediaServiceImageTags">
    <vt:lpwstr/>
  </property>
</Properties>
</file>